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 codeName="ThisWorkbook"/>
  <mc:AlternateContent xmlns:mc="http://schemas.openxmlformats.org/markup-compatibility/2006">
    <mc:Choice Requires="x15">
      <x15ac:absPath xmlns:x15ac="http://schemas.microsoft.com/office/spreadsheetml/2010/11/ac" url="https://uniofnottm.sharepoint.com/sites/O365-HRMIS/Shared Documents/General/02 Salary Scales/Salary Scales Aug 21/"/>
    </mc:Choice>
  </mc:AlternateContent>
  <xr:revisionPtr revIDLastSave="1142" documentId="11_3FB04BE9F752578C61E95666BD06DE715A0D8C07" xr6:coauthVersionLast="47" xr6:coauthVersionMax="47" xr10:uidLastSave="{AFA02F58-25CA-44F7-BA62-742498237E43}"/>
  <workbookProtection workbookAlgorithmName="SHA-512" workbookHashValue="8iDrbosr+Fl8qhkM9514waD/vG3wIzXLMEfiCTW14wNYNKeQQiZ8+zB7/ImqJkJ+Fv3T6x/X2ZFu1Z5Wt2v3Fg==" workbookSaltValue="KNnC8TXRjkJrEcuWhQVIOQ==" workbookSpinCount="100000" lockStructure="1"/>
  <bookViews>
    <workbookView xWindow="-28920" yWindow="-120" windowWidth="29040" windowHeight="15840" tabRatio="869" xr2:uid="{00000000-000D-0000-FFFF-FFFF00000000}"/>
  </bookViews>
  <sheets>
    <sheet name="Level 1-6 Scale" sheetId="6" r:id="rId1"/>
    <sheet name="Level 7 Scale" sheetId="8" r:id="rId2"/>
    <sheet name="Level 7 R&amp;T Banded Scale" sheetId="10" r:id="rId3"/>
    <sheet name="Rates" sheetId="1" r:id="rId4"/>
    <sheet name="Notes &amp; Guidance" sheetId="5" r:id="rId5"/>
    <sheet name="Grades" sheetId="2" state="hidden" r:id="rId6"/>
    <sheet name="Points Lookup" sheetId="4" state="hidden" r:id="rId7"/>
    <sheet name="Thresholds_Rates" sheetId="7" state="hidden" r:id="rId8"/>
    <sheet name="RATES TEST SHEET" sheetId="12" state="hidden" r:id="rId9"/>
    <sheet name="Rates (old formulae)" sheetId="13" state="hidden" r:id="rId10"/>
  </sheets>
  <definedNames>
    <definedName name="_xlnm._FilterDatabase" localSheetId="5" hidden="1">Grades!$A$1:$BY$49</definedName>
    <definedName name="LIST">OFFSET(Grades!$A$2,0,0,COUNTA(Grades!$A:$A)-1,1)</definedName>
    <definedName name="_xlnm.Print_Area" localSheetId="0">'Level 1-6 Scale'!$B$14:$U$70</definedName>
    <definedName name="_xlnm.Print_Area" localSheetId="2">'Level 7 R&amp;T Banded Scale'!$B$4:$I$31</definedName>
    <definedName name="_xlnm.Print_Area" localSheetId="1">'Level 7 Scale'!$B$3:$F$40</definedName>
    <definedName name="_xlnm.Print_Area" localSheetId="3">RATES_dyn_print_area</definedName>
    <definedName name="_xlnm.Print_Area" localSheetId="9">'Rates (old formulae)'!$B$1:$Q$34</definedName>
    <definedName name="_xlnm.Print_Area" localSheetId="8">'RATES TEST SHEET'!$B$1:$Q$34</definedName>
    <definedName name="_xlnm.Print_Titles" localSheetId="0">'Level 1-6 Scale'!$4:$5</definedName>
    <definedName name="RATES_dyn_print_area">OFFSET(Rates!$A$1,0,0,VLOOKUP(Rates!$B$2,Grades!$A:$B,2,FALSE)+7,IF(Rates!$S$5="AVA Details",22,17))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9" i="5" l="1"/>
  <c r="X5" i="4"/>
  <c r="X6" i="4"/>
  <c r="X7" i="4"/>
  <c r="X8" i="4"/>
  <c r="X9" i="4"/>
  <c r="X10" i="4"/>
  <c r="X11" i="4"/>
  <c r="X12" i="4"/>
  <c r="X13" i="4"/>
  <c r="X14" i="4"/>
  <c r="X15" i="4"/>
  <c r="X16" i="4"/>
  <c r="X4" i="4"/>
  <c r="AE5" i="4"/>
  <c r="AE6" i="4"/>
  <c r="AE7" i="4"/>
  <c r="AE8" i="4"/>
  <c r="AE9" i="4"/>
  <c r="AE10" i="4"/>
  <c r="AE11" i="4"/>
  <c r="AE12" i="4"/>
  <c r="AE13" i="4"/>
  <c r="AE14" i="4"/>
  <c r="AE15" i="4"/>
  <c r="AE16" i="4"/>
  <c r="AE4" i="4"/>
  <c r="AL5" i="4"/>
  <c r="AL6" i="4"/>
  <c r="AL7" i="4"/>
  <c r="AL8" i="4"/>
  <c r="AL9" i="4"/>
  <c r="AL10" i="4"/>
  <c r="AL11" i="4"/>
  <c r="AL12" i="4"/>
  <c r="AL13" i="4"/>
  <c r="AL14" i="4"/>
  <c r="AL4" i="4"/>
  <c r="B37" i="2" l="1"/>
  <c r="B41" i="2"/>
  <c r="B40" i="2"/>
  <c r="B39" i="2"/>
  <c r="B38" i="2"/>
  <c r="B48" i="2"/>
  <c r="B36" i="2"/>
  <c r="Q172" i="1"/>
  <c r="Q173" i="1"/>
  <c r="Q174" i="1"/>
  <c r="Q175" i="1"/>
  <c r="Q176" i="1"/>
  <c r="Q177" i="1"/>
  <c r="Q178" i="1"/>
  <c r="Q179" i="1"/>
  <c r="Q180" i="1"/>
  <c r="Q181" i="1"/>
  <c r="Q182" i="1"/>
  <c r="Q183" i="1"/>
  <c r="Q184" i="1"/>
  <c r="Q185" i="1"/>
  <c r="Q186" i="1"/>
  <c r="Q187" i="1"/>
  <c r="Q188" i="1"/>
  <c r="Q189" i="1"/>
  <c r="Q190" i="1"/>
  <c r="Q191" i="1"/>
  <c r="Q192" i="1"/>
  <c r="Q193" i="1"/>
  <c r="Q194" i="1"/>
  <c r="Q195" i="1"/>
  <c r="Q196" i="1"/>
  <c r="Q197" i="1"/>
  <c r="Q198" i="1"/>
  <c r="Q199" i="1"/>
  <c r="Q200" i="1"/>
  <c r="Q201" i="1"/>
  <c r="Q202" i="1"/>
  <c r="Q203" i="1"/>
  <c r="Q204" i="1"/>
  <c r="Q205" i="1"/>
  <c r="Q206" i="1"/>
  <c r="Q207" i="1"/>
  <c r="Q208" i="1"/>
  <c r="Q209" i="1"/>
  <c r="Q210" i="1"/>
  <c r="Q211" i="1"/>
  <c r="Q212" i="1"/>
  <c r="Q213" i="1"/>
  <c r="Q214" i="1"/>
  <c r="Q215" i="1"/>
  <c r="Q216" i="1"/>
  <c r="Q217" i="1"/>
  <c r="Q218" i="1"/>
  <c r="Q219" i="1"/>
  <c r="Q220" i="1"/>
  <c r="Q221" i="1"/>
  <c r="Q222" i="1"/>
  <c r="Q223" i="1"/>
  <c r="Q224" i="1"/>
  <c r="Q225" i="1"/>
  <c r="Q226" i="1"/>
  <c r="Q227" i="1"/>
  <c r="Q228" i="1"/>
  <c r="Q229" i="1"/>
  <c r="Q230" i="1"/>
  <c r="Q231" i="1"/>
  <c r="Q232" i="1"/>
  <c r="Q233" i="1"/>
  <c r="Q234" i="1"/>
  <c r="Q235" i="1"/>
  <c r="Q236" i="1"/>
  <c r="Q237" i="1"/>
  <c r="Q238" i="1"/>
  <c r="Q239" i="1"/>
  <c r="Q240" i="1"/>
  <c r="Q241" i="1"/>
  <c r="Q242" i="1"/>
  <c r="Q243" i="1"/>
  <c r="Q244" i="1"/>
  <c r="Q245" i="1"/>
  <c r="Q246" i="1"/>
  <c r="Q247" i="1"/>
  <c r="Q248" i="1"/>
  <c r="Q249" i="1"/>
  <c r="Q250" i="1"/>
  <c r="Q251" i="1"/>
  <c r="Q252" i="1"/>
  <c r="Q253" i="1"/>
  <c r="Q254" i="1"/>
  <c r="Q255" i="1"/>
  <c r="Q256" i="1"/>
  <c r="Q257" i="1"/>
  <c r="Q258" i="1"/>
  <c r="Q259" i="1"/>
  <c r="Q260" i="1"/>
  <c r="Q261" i="1"/>
  <c r="Q262" i="1"/>
  <c r="Q263" i="1"/>
  <c r="Q264" i="1"/>
  <c r="Q265" i="1"/>
  <c r="Q266" i="1"/>
  <c r="Q267" i="1"/>
  <c r="Q268" i="1"/>
  <c r="Q269" i="1"/>
  <c r="Q270" i="1"/>
  <c r="Q271" i="1"/>
  <c r="Q272" i="1"/>
  <c r="Q273" i="1"/>
  <c r="Q274" i="1"/>
  <c r="Q275" i="1"/>
  <c r="Q276" i="1"/>
  <c r="Q277" i="1"/>
  <c r="Q278" i="1"/>
  <c r="Q279" i="1"/>
  <c r="Q280" i="1"/>
  <c r="Q281" i="1"/>
  <c r="Q282" i="1"/>
  <c r="Q283" i="1"/>
  <c r="Q284" i="1"/>
  <c r="Q285" i="1"/>
  <c r="Q286" i="1"/>
  <c r="Q287" i="1"/>
  <c r="Q288" i="1"/>
  <c r="Q289" i="1"/>
  <c r="Q290" i="1"/>
  <c r="Q291" i="1"/>
  <c r="Q292" i="1"/>
  <c r="Q293" i="1"/>
  <c r="Q294" i="1"/>
  <c r="Q295" i="1"/>
  <c r="Q296" i="1"/>
  <c r="Q297" i="1"/>
  <c r="Q298" i="1"/>
  <c r="Q299" i="1"/>
  <c r="Q300" i="1"/>
  <c r="Q301" i="1"/>
  <c r="P172" i="1"/>
  <c r="P173" i="1"/>
  <c r="P174" i="1"/>
  <c r="P175" i="1"/>
  <c r="P176" i="1"/>
  <c r="P177" i="1"/>
  <c r="P178" i="1"/>
  <c r="P179" i="1"/>
  <c r="P180" i="1"/>
  <c r="P181" i="1"/>
  <c r="P182" i="1"/>
  <c r="P183" i="1"/>
  <c r="P184" i="1"/>
  <c r="P185" i="1"/>
  <c r="P186" i="1"/>
  <c r="P187" i="1"/>
  <c r="P188" i="1"/>
  <c r="P189" i="1"/>
  <c r="P190" i="1"/>
  <c r="P191" i="1"/>
  <c r="P192" i="1"/>
  <c r="P193" i="1"/>
  <c r="P194" i="1"/>
  <c r="P195" i="1"/>
  <c r="P196" i="1"/>
  <c r="P197" i="1"/>
  <c r="P198" i="1"/>
  <c r="P199" i="1"/>
  <c r="P200" i="1"/>
  <c r="P201" i="1"/>
  <c r="P202" i="1"/>
  <c r="P203" i="1"/>
  <c r="P204" i="1"/>
  <c r="P205" i="1"/>
  <c r="P206" i="1"/>
  <c r="P207" i="1"/>
  <c r="P208" i="1"/>
  <c r="P209" i="1"/>
  <c r="P210" i="1"/>
  <c r="P211" i="1"/>
  <c r="P212" i="1"/>
  <c r="P213" i="1"/>
  <c r="P214" i="1"/>
  <c r="P215" i="1"/>
  <c r="P216" i="1"/>
  <c r="P217" i="1"/>
  <c r="P218" i="1"/>
  <c r="P219" i="1"/>
  <c r="P220" i="1"/>
  <c r="P221" i="1"/>
  <c r="P222" i="1"/>
  <c r="P223" i="1"/>
  <c r="P224" i="1"/>
  <c r="P225" i="1"/>
  <c r="P226" i="1"/>
  <c r="P227" i="1"/>
  <c r="P228" i="1"/>
  <c r="P229" i="1"/>
  <c r="P230" i="1"/>
  <c r="P231" i="1"/>
  <c r="P232" i="1"/>
  <c r="P233" i="1"/>
  <c r="P234" i="1"/>
  <c r="P235" i="1"/>
  <c r="P236" i="1"/>
  <c r="P237" i="1"/>
  <c r="P238" i="1"/>
  <c r="P239" i="1"/>
  <c r="P240" i="1"/>
  <c r="P241" i="1"/>
  <c r="P242" i="1"/>
  <c r="P243" i="1"/>
  <c r="P244" i="1"/>
  <c r="P245" i="1"/>
  <c r="P246" i="1"/>
  <c r="P247" i="1"/>
  <c r="P248" i="1"/>
  <c r="P249" i="1"/>
  <c r="P250" i="1"/>
  <c r="P251" i="1"/>
  <c r="P252" i="1"/>
  <c r="P253" i="1"/>
  <c r="P254" i="1"/>
  <c r="P255" i="1"/>
  <c r="P256" i="1"/>
  <c r="P257" i="1"/>
  <c r="P258" i="1"/>
  <c r="P259" i="1"/>
  <c r="P260" i="1"/>
  <c r="P261" i="1"/>
  <c r="P262" i="1"/>
  <c r="P263" i="1"/>
  <c r="P264" i="1"/>
  <c r="P265" i="1"/>
  <c r="P266" i="1"/>
  <c r="P267" i="1"/>
  <c r="P268" i="1"/>
  <c r="P269" i="1"/>
  <c r="P270" i="1"/>
  <c r="P271" i="1"/>
  <c r="P272" i="1"/>
  <c r="P273" i="1"/>
  <c r="P274" i="1"/>
  <c r="P275" i="1"/>
  <c r="P276" i="1"/>
  <c r="P277" i="1"/>
  <c r="P278" i="1"/>
  <c r="P279" i="1"/>
  <c r="P280" i="1"/>
  <c r="P281" i="1"/>
  <c r="P282" i="1"/>
  <c r="P283" i="1"/>
  <c r="P284" i="1"/>
  <c r="P285" i="1"/>
  <c r="P286" i="1"/>
  <c r="P287" i="1"/>
  <c r="P288" i="1"/>
  <c r="P289" i="1"/>
  <c r="P290" i="1"/>
  <c r="P291" i="1"/>
  <c r="P292" i="1"/>
  <c r="P293" i="1"/>
  <c r="P294" i="1"/>
  <c r="P295" i="1"/>
  <c r="P296" i="1"/>
  <c r="P297" i="1"/>
  <c r="P298" i="1"/>
  <c r="P299" i="1"/>
  <c r="P300" i="1"/>
  <c r="P301" i="1"/>
  <c r="O172" i="1"/>
  <c r="O173" i="1"/>
  <c r="O174" i="1"/>
  <c r="O175" i="1"/>
  <c r="O176" i="1"/>
  <c r="O177" i="1"/>
  <c r="O178" i="1"/>
  <c r="O179" i="1"/>
  <c r="O180" i="1"/>
  <c r="O181" i="1"/>
  <c r="O182" i="1"/>
  <c r="O183" i="1"/>
  <c r="O184" i="1"/>
  <c r="O185" i="1"/>
  <c r="O186" i="1"/>
  <c r="O187" i="1"/>
  <c r="O188" i="1"/>
  <c r="O189" i="1"/>
  <c r="O190" i="1"/>
  <c r="O191" i="1"/>
  <c r="O192" i="1"/>
  <c r="O193" i="1"/>
  <c r="O194" i="1"/>
  <c r="O195" i="1"/>
  <c r="O196" i="1"/>
  <c r="O197" i="1"/>
  <c r="O198" i="1"/>
  <c r="O199" i="1"/>
  <c r="O200" i="1"/>
  <c r="O201" i="1"/>
  <c r="O202" i="1"/>
  <c r="O203" i="1"/>
  <c r="O204" i="1"/>
  <c r="O205" i="1"/>
  <c r="O206" i="1"/>
  <c r="O207" i="1"/>
  <c r="O208" i="1"/>
  <c r="O209" i="1"/>
  <c r="O210" i="1"/>
  <c r="O211" i="1"/>
  <c r="O212" i="1"/>
  <c r="O213" i="1"/>
  <c r="O214" i="1"/>
  <c r="O215" i="1"/>
  <c r="O216" i="1"/>
  <c r="O217" i="1"/>
  <c r="O218" i="1"/>
  <c r="O219" i="1"/>
  <c r="O220" i="1"/>
  <c r="O221" i="1"/>
  <c r="O222" i="1"/>
  <c r="O223" i="1"/>
  <c r="O224" i="1"/>
  <c r="O225" i="1"/>
  <c r="O226" i="1"/>
  <c r="O227" i="1"/>
  <c r="O228" i="1"/>
  <c r="O229" i="1"/>
  <c r="O230" i="1"/>
  <c r="O231" i="1"/>
  <c r="O232" i="1"/>
  <c r="O233" i="1"/>
  <c r="O234" i="1"/>
  <c r="O235" i="1"/>
  <c r="O236" i="1"/>
  <c r="O237" i="1"/>
  <c r="O238" i="1"/>
  <c r="O239" i="1"/>
  <c r="O240" i="1"/>
  <c r="O241" i="1"/>
  <c r="O242" i="1"/>
  <c r="O243" i="1"/>
  <c r="O244" i="1"/>
  <c r="O245" i="1"/>
  <c r="O246" i="1"/>
  <c r="O247" i="1"/>
  <c r="O248" i="1"/>
  <c r="O249" i="1"/>
  <c r="O250" i="1"/>
  <c r="O251" i="1"/>
  <c r="O252" i="1"/>
  <c r="O253" i="1"/>
  <c r="O254" i="1"/>
  <c r="O255" i="1"/>
  <c r="O256" i="1"/>
  <c r="O257" i="1"/>
  <c r="O258" i="1"/>
  <c r="O259" i="1"/>
  <c r="O260" i="1"/>
  <c r="O261" i="1"/>
  <c r="O262" i="1"/>
  <c r="O263" i="1"/>
  <c r="O264" i="1"/>
  <c r="O265" i="1"/>
  <c r="O266" i="1"/>
  <c r="O267" i="1"/>
  <c r="O268" i="1"/>
  <c r="O269" i="1"/>
  <c r="O270" i="1"/>
  <c r="O271" i="1"/>
  <c r="O272" i="1"/>
  <c r="O273" i="1"/>
  <c r="O274" i="1"/>
  <c r="O275" i="1"/>
  <c r="O276" i="1"/>
  <c r="O277" i="1"/>
  <c r="O278" i="1"/>
  <c r="O279" i="1"/>
  <c r="O280" i="1"/>
  <c r="O281" i="1"/>
  <c r="O282" i="1"/>
  <c r="O283" i="1"/>
  <c r="O284" i="1"/>
  <c r="O285" i="1"/>
  <c r="O286" i="1"/>
  <c r="O287" i="1"/>
  <c r="O288" i="1"/>
  <c r="O289" i="1"/>
  <c r="O290" i="1"/>
  <c r="O291" i="1"/>
  <c r="O292" i="1"/>
  <c r="O293" i="1"/>
  <c r="O294" i="1"/>
  <c r="O295" i="1"/>
  <c r="O296" i="1"/>
  <c r="O297" i="1"/>
  <c r="O298" i="1"/>
  <c r="O299" i="1"/>
  <c r="O300" i="1"/>
  <c r="O301" i="1"/>
  <c r="N172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8" i="1"/>
  <c r="N189" i="1"/>
  <c r="N190" i="1"/>
  <c r="N191" i="1"/>
  <c r="N192" i="1"/>
  <c r="N193" i="1"/>
  <c r="N194" i="1"/>
  <c r="N195" i="1"/>
  <c r="N196" i="1"/>
  <c r="N197" i="1"/>
  <c r="N198" i="1"/>
  <c r="N199" i="1"/>
  <c r="N200" i="1"/>
  <c r="N201" i="1"/>
  <c r="N202" i="1"/>
  <c r="N203" i="1"/>
  <c r="N204" i="1"/>
  <c r="N205" i="1"/>
  <c r="N206" i="1"/>
  <c r="N207" i="1"/>
  <c r="N208" i="1"/>
  <c r="N209" i="1"/>
  <c r="N210" i="1"/>
  <c r="N211" i="1"/>
  <c r="N212" i="1"/>
  <c r="N213" i="1"/>
  <c r="N214" i="1"/>
  <c r="N215" i="1"/>
  <c r="N216" i="1"/>
  <c r="N217" i="1"/>
  <c r="N218" i="1"/>
  <c r="N219" i="1"/>
  <c r="N220" i="1"/>
  <c r="N221" i="1"/>
  <c r="N222" i="1"/>
  <c r="N223" i="1"/>
  <c r="N224" i="1"/>
  <c r="N225" i="1"/>
  <c r="N226" i="1"/>
  <c r="N227" i="1"/>
  <c r="N228" i="1"/>
  <c r="N229" i="1"/>
  <c r="N230" i="1"/>
  <c r="N231" i="1"/>
  <c r="N232" i="1"/>
  <c r="N233" i="1"/>
  <c r="N234" i="1"/>
  <c r="N235" i="1"/>
  <c r="N236" i="1"/>
  <c r="N237" i="1"/>
  <c r="N238" i="1"/>
  <c r="N239" i="1"/>
  <c r="N240" i="1"/>
  <c r="N241" i="1"/>
  <c r="N242" i="1"/>
  <c r="N243" i="1"/>
  <c r="N244" i="1"/>
  <c r="N245" i="1"/>
  <c r="N246" i="1"/>
  <c r="N247" i="1"/>
  <c r="N248" i="1"/>
  <c r="N249" i="1"/>
  <c r="N250" i="1"/>
  <c r="N251" i="1"/>
  <c r="N252" i="1"/>
  <c r="N253" i="1"/>
  <c r="N254" i="1"/>
  <c r="N255" i="1"/>
  <c r="N256" i="1"/>
  <c r="N257" i="1"/>
  <c r="N258" i="1"/>
  <c r="N259" i="1"/>
  <c r="N260" i="1"/>
  <c r="N261" i="1"/>
  <c r="N262" i="1"/>
  <c r="N263" i="1"/>
  <c r="N264" i="1"/>
  <c r="N265" i="1"/>
  <c r="N266" i="1"/>
  <c r="N267" i="1"/>
  <c r="N268" i="1"/>
  <c r="N269" i="1"/>
  <c r="N270" i="1"/>
  <c r="N271" i="1"/>
  <c r="N272" i="1"/>
  <c r="N273" i="1"/>
  <c r="N274" i="1"/>
  <c r="N275" i="1"/>
  <c r="N276" i="1"/>
  <c r="N277" i="1"/>
  <c r="N278" i="1"/>
  <c r="N279" i="1"/>
  <c r="N280" i="1"/>
  <c r="N281" i="1"/>
  <c r="N282" i="1"/>
  <c r="N283" i="1"/>
  <c r="N284" i="1"/>
  <c r="N285" i="1"/>
  <c r="N286" i="1"/>
  <c r="N287" i="1"/>
  <c r="N288" i="1"/>
  <c r="N289" i="1"/>
  <c r="N290" i="1"/>
  <c r="N291" i="1"/>
  <c r="N292" i="1"/>
  <c r="N293" i="1"/>
  <c r="N294" i="1"/>
  <c r="N295" i="1"/>
  <c r="N296" i="1"/>
  <c r="N297" i="1"/>
  <c r="N298" i="1"/>
  <c r="N299" i="1"/>
  <c r="N300" i="1"/>
  <c r="N30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07" i="1"/>
  <c r="M208" i="1"/>
  <c r="M209" i="1"/>
  <c r="M210" i="1"/>
  <c r="M211" i="1"/>
  <c r="M212" i="1"/>
  <c r="M213" i="1"/>
  <c r="M214" i="1"/>
  <c r="M215" i="1"/>
  <c r="M216" i="1"/>
  <c r="M217" i="1"/>
  <c r="M218" i="1"/>
  <c r="M219" i="1"/>
  <c r="M220" i="1"/>
  <c r="M221" i="1"/>
  <c r="M222" i="1"/>
  <c r="M223" i="1"/>
  <c r="M224" i="1"/>
  <c r="M225" i="1"/>
  <c r="M226" i="1"/>
  <c r="M227" i="1"/>
  <c r="M228" i="1"/>
  <c r="M229" i="1"/>
  <c r="M230" i="1"/>
  <c r="M231" i="1"/>
  <c r="M232" i="1"/>
  <c r="M233" i="1"/>
  <c r="M234" i="1"/>
  <c r="M235" i="1"/>
  <c r="M236" i="1"/>
  <c r="M237" i="1"/>
  <c r="M238" i="1"/>
  <c r="M239" i="1"/>
  <c r="M240" i="1"/>
  <c r="M241" i="1"/>
  <c r="M242" i="1"/>
  <c r="M243" i="1"/>
  <c r="M244" i="1"/>
  <c r="M245" i="1"/>
  <c r="M246" i="1"/>
  <c r="M247" i="1"/>
  <c r="M248" i="1"/>
  <c r="M249" i="1"/>
  <c r="M250" i="1"/>
  <c r="M251" i="1"/>
  <c r="M252" i="1"/>
  <c r="M253" i="1"/>
  <c r="M254" i="1"/>
  <c r="M255" i="1"/>
  <c r="M256" i="1"/>
  <c r="M257" i="1"/>
  <c r="M258" i="1"/>
  <c r="M259" i="1"/>
  <c r="M260" i="1"/>
  <c r="M261" i="1"/>
  <c r="M262" i="1"/>
  <c r="M263" i="1"/>
  <c r="M264" i="1"/>
  <c r="M265" i="1"/>
  <c r="M266" i="1"/>
  <c r="M267" i="1"/>
  <c r="M268" i="1"/>
  <c r="M269" i="1"/>
  <c r="M270" i="1"/>
  <c r="M271" i="1"/>
  <c r="M272" i="1"/>
  <c r="M273" i="1"/>
  <c r="M274" i="1"/>
  <c r="M275" i="1"/>
  <c r="M276" i="1"/>
  <c r="M277" i="1"/>
  <c r="M278" i="1"/>
  <c r="M279" i="1"/>
  <c r="M280" i="1"/>
  <c r="M281" i="1"/>
  <c r="M282" i="1"/>
  <c r="M283" i="1"/>
  <c r="M284" i="1"/>
  <c r="M285" i="1"/>
  <c r="M286" i="1"/>
  <c r="M287" i="1"/>
  <c r="M288" i="1"/>
  <c r="M289" i="1"/>
  <c r="M290" i="1"/>
  <c r="M291" i="1"/>
  <c r="M292" i="1"/>
  <c r="M293" i="1"/>
  <c r="M294" i="1"/>
  <c r="M295" i="1"/>
  <c r="M296" i="1"/>
  <c r="M297" i="1"/>
  <c r="M298" i="1"/>
  <c r="M299" i="1"/>
  <c r="M300" i="1"/>
  <c r="M30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Q301" i="13"/>
  <c r="P301" i="13"/>
  <c r="O301" i="13"/>
  <c r="N301" i="13"/>
  <c r="M301" i="13"/>
  <c r="Q300" i="13"/>
  <c r="P300" i="13"/>
  <c r="O300" i="13"/>
  <c r="N300" i="13"/>
  <c r="M300" i="13"/>
  <c r="Q299" i="13"/>
  <c r="P299" i="13"/>
  <c r="O299" i="13"/>
  <c r="N299" i="13"/>
  <c r="M299" i="13"/>
  <c r="Q298" i="13"/>
  <c r="P298" i="13"/>
  <c r="O298" i="13"/>
  <c r="N298" i="13"/>
  <c r="M298" i="13"/>
  <c r="Q297" i="13"/>
  <c r="P297" i="13"/>
  <c r="O297" i="13"/>
  <c r="N297" i="13"/>
  <c r="M297" i="13"/>
  <c r="Q296" i="13"/>
  <c r="P296" i="13"/>
  <c r="O296" i="13"/>
  <c r="N296" i="13"/>
  <c r="M296" i="13"/>
  <c r="Q295" i="13"/>
  <c r="P295" i="13"/>
  <c r="O295" i="13"/>
  <c r="N295" i="13"/>
  <c r="M295" i="13"/>
  <c r="Q294" i="13"/>
  <c r="P294" i="13"/>
  <c r="O294" i="13"/>
  <c r="N294" i="13"/>
  <c r="M294" i="13"/>
  <c r="Q293" i="13"/>
  <c r="P293" i="13"/>
  <c r="O293" i="13"/>
  <c r="N293" i="13"/>
  <c r="M293" i="13"/>
  <c r="F293" i="13"/>
  <c r="Q292" i="13"/>
  <c r="P292" i="13"/>
  <c r="O292" i="13"/>
  <c r="N292" i="13"/>
  <c r="M292" i="13"/>
  <c r="F292" i="13"/>
  <c r="Q291" i="13"/>
  <c r="P291" i="13"/>
  <c r="O291" i="13"/>
  <c r="N291" i="13"/>
  <c r="M291" i="13"/>
  <c r="F291" i="13"/>
  <c r="Q290" i="13"/>
  <c r="P290" i="13"/>
  <c r="O290" i="13"/>
  <c r="N290" i="13"/>
  <c r="M290" i="13"/>
  <c r="F290" i="13"/>
  <c r="Q289" i="13"/>
  <c r="P289" i="13"/>
  <c r="O289" i="13"/>
  <c r="N289" i="13"/>
  <c r="M289" i="13"/>
  <c r="F289" i="13"/>
  <c r="Q288" i="13"/>
  <c r="P288" i="13"/>
  <c r="O288" i="13"/>
  <c r="N288" i="13"/>
  <c r="M288" i="13"/>
  <c r="F288" i="13"/>
  <c r="Q287" i="13"/>
  <c r="P287" i="13"/>
  <c r="O287" i="13"/>
  <c r="N287" i="13"/>
  <c r="M287" i="13"/>
  <c r="F287" i="13"/>
  <c r="Q286" i="13"/>
  <c r="P286" i="13"/>
  <c r="O286" i="13"/>
  <c r="N286" i="13"/>
  <c r="M286" i="13"/>
  <c r="F286" i="13"/>
  <c r="Q285" i="13"/>
  <c r="P285" i="13"/>
  <c r="O285" i="13"/>
  <c r="N285" i="13"/>
  <c r="M285" i="13"/>
  <c r="F285" i="13"/>
  <c r="Q284" i="13"/>
  <c r="P284" i="13"/>
  <c r="O284" i="13"/>
  <c r="N284" i="13"/>
  <c r="M284" i="13"/>
  <c r="F284" i="13"/>
  <c r="Q283" i="13"/>
  <c r="P283" i="13"/>
  <c r="O283" i="13"/>
  <c r="N283" i="13"/>
  <c r="M283" i="13"/>
  <c r="F283" i="13"/>
  <c r="Q282" i="13"/>
  <c r="P282" i="13"/>
  <c r="O282" i="13"/>
  <c r="N282" i="13"/>
  <c r="M282" i="13"/>
  <c r="F282" i="13"/>
  <c r="Q281" i="13"/>
  <c r="P281" i="13"/>
  <c r="O281" i="13"/>
  <c r="N281" i="13"/>
  <c r="M281" i="13"/>
  <c r="F281" i="13"/>
  <c r="Q280" i="13"/>
  <c r="P280" i="13"/>
  <c r="O280" i="13"/>
  <c r="N280" i="13"/>
  <c r="M280" i="13"/>
  <c r="F280" i="13"/>
  <c r="Q279" i="13"/>
  <c r="P279" i="13"/>
  <c r="O279" i="13"/>
  <c r="N279" i="13"/>
  <c r="M279" i="13"/>
  <c r="F279" i="13"/>
  <c r="Q278" i="13"/>
  <c r="P278" i="13"/>
  <c r="O278" i="13"/>
  <c r="N278" i="13"/>
  <c r="M278" i="13"/>
  <c r="F278" i="13"/>
  <c r="Q277" i="13"/>
  <c r="P277" i="13"/>
  <c r="O277" i="13"/>
  <c r="N277" i="13"/>
  <c r="M277" i="13"/>
  <c r="F277" i="13"/>
  <c r="Q276" i="13"/>
  <c r="P276" i="13"/>
  <c r="O276" i="13"/>
  <c r="N276" i="13"/>
  <c r="M276" i="13"/>
  <c r="F276" i="13"/>
  <c r="Q275" i="13"/>
  <c r="P275" i="13"/>
  <c r="O275" i="13"/>
  <c r="N275" i="13"/>
  <c r="M275" i="13"/>
  <c r="F275" i="13"/>
  <c r="Q274" i="13"/>
  <c r="P274" i="13"/>
  <c r="O274" i="13"/>
  <c r="N274" i="13"/>
  <c r="M274" i="13"/>
  <c r="F274" i="13"/>
  <c r="Q273" i="13"/>
  <c r="P273" i="13"/>
  <c r="O273" i="13"/>
  <c r="N273" i="13"/>
  <c r="M273" i="13"/>
  <c r="F273" i="13"/>
  <c r="Q272" i="13"/>
  <c r="P272" i="13"/>
  <c r="O272" i="13"/>
  <c r="N272" i="13"/>
  <c r="M272" i="13"/>
  <c r="F272" i="13"/>
  <c r="Q271" i="13"/>
  <c r="P271" i="13"/>
  <c r="O271" i="13"/>
  <c r="N271" i="13"/>
  <c r="M271" i="13"/>
  <c r="F271" i="13"/>
  <c r="Q270" i="13"/>
  <c r="P270" i="13"/>
  <c r="O270" i="13"/>
  <c r="N270" i="13"/>
  <c r="M270" i="13"/>
  <c r="F270" i="13"/>
  <c r="Q269" i="13"/>
  <c r="P269" i="13"/>
  <c r="O269" i="13"/>
  <c r="N269" i="13"/>
  <c r="M269" i="13"/>
  <c r="F269" i="13"/>
  <c r="Q268" i="13"/>
  <c r="P268" i="13"/>
  <c r="O268" i="13"/>
  <c r="N268" i="13"/>
  <c r="M268" i="13"/>
  <c r="F268" i="13"/>
  <c r="Q267" i="13"/>
  <c r="P267" i="13"/>
  <c r="O267" i="13"/>
  <c r="N267" i="13"/>
  <c r="M267" i="13"/>
  <c r="F267" i="13"/>
  <c r="Q266" i="13"/>
  <c r="P266" i="13"/>
  <c r="O266" i="13"/>
  <c r="N266" i="13"/>
  <c r="M266" i="13"/>
  <c r="F266" i="13"/>
  <c r="Q265" i="13"/>
  <c r="P265" i="13"/>
  <c r="O265" i="13"/>
  <c r="N265" i="13"/>
  <c r="M265" i="13"/>
  <c r="F265" i="13"/>
  <c r="Q264" i="13"/>
  <c r="P264" i="13"/>
  <c r="O264" i="13"/>
  <c r="N264" i="13"/>
  <c r="M264" i="13"/>
  <c r="F264" i="13"/>
  <c r="Q263" i="13"/>
  <c r="P263" i="13"/>
  <c r="O263" i="13"/>
  <c r="N263" i="13"/>
  <c r="M263" i="13"/>
  <c r="F263" i="13"/>
  <c r="Q262" i="13"/>
  <c r="P262" i="13"/>
  <c r="O262" i="13"/>
  <c r="N262" i="13"/>
  <c r="M262" i="13"/>
  <c r="F262" i="13"/>
  <c r="Q261" i="13"/>
  <c r="P261" i="13"/>
  <c r="O261" i="13"/>
  <c r="N261" i="13"/>
  <c r="M261" i="13"/>
  <c r="F261" i="13"/>
  <c r="Q260" i="13"/>
  <c r="P260" i="13"/>
  <c r="O260" i="13"/>
  <c r="N260" i="13"/>
  <c r="M260" i="13"/>
  <c r="F260" i="13"/>
  <c r="Q259" i="13"/>
  <c r="P259" i="13"/>
  <c r="O259" i="13"/>
  <c r="N259" i="13"/>
  <c r="M259" i="13"/>
  <c r="F259" i="13"/>
  <c r="Q258" i="13"/>
  <c r="P258" i="13"/>
  <c r="O258" i="13"/>
  <c r="N258" i="13"/>
  <c r="M258" i="13"/>
  <c r="F258" i="13"/>
  <c r="Q257" i="13"/>
  <c r="P257" i="13"/>
  <c r="O257" i="13"/>
  <c r="N257" i="13"/>
  <c r="M257" i="13"/>
  <c r="F257" i="13"/>
  <c r="Q256" i="13"/>
  <c r="P256" i="13"/>
  <c r="O256" i="13"/>
  <c r="N256" i="13"/>
  <c r="M256" i="13"/>
  <c r="F256" i="13"/>
  <c r="Q255" i="13"/>
  <c r="P255" i="13"/>
  <c r="O255" i="13"/>
  <c r="N255" i="13"/>
  <c r="M255" i="13"/>
  <c r="F255" i="13"/>
  <c r="Q254" i="13"/>
  <c r="P254" i="13"/>
  <c r="O254" i="13"/>
  <c r="N254" i="13"/>
  <c r="M254" i="13"/>
  <c r="F254" i="13"/>
  <c r="Q253" i="13"/>
  <c r="P253" i="13"/>
  <c r="O253" i="13"/>
  <c r="N253" i="13"/>
  <c r="M253" i="13"/>
  <c r="F253" i="13"/>
  <c r="Q252" i="13"/>
  <c r="P252" i="13"/>
  <c r="O252" i="13"/>
  <c r="N252" i="13"/>
  <c r="M252" i="13"/>
  <c r="F252" i="13"/>
  <c r="Q251" i="13"/>
  <c r="P251" i="13"/>
  <c r="O251" i="13"/>
  <c r="N251" i="13"/>
  <c r="M251" i="13"/>
  <c r="F251" i="13"/>
  <c r="Q250" i="13"/>
  <c r="P250" i="13"/>
  <c r="O250" i="13"/>
  <c r="N250" i="13"/>
  <c r="M250" i="13"/>
  <c r="F250" i="13"/>
  <c r="Q249" i="13"/>
  <c r="P249" i="13"/>
  <c r="O249" i="13"/>
  <c r="N249" i="13"/>
  <c r="M249" i="13"/>
  <c r="F249" i="13"/>
  <c r="Q248" i="13"/>
  <c r="P248" i="13"/>
  <c r="O248" i="13"/>
  <c r="N248" i="13"/>
  <c r="M248" i="13"/>
  <c r="F248" i="13"/>
  <c r="Q247" i="13"/>
  <c r="P247" i="13"/>
  <c r="O247" i="13"/>
  <c r="N247" i="13"/>
  <c r="M247" i="13"/>
  <c r="F247" i="13"/>
  <c r="Q246" i="13"/>
  <c r="P246" i="13"/>
  <c r="O246" i="13"/>
  <c r="N246" i="13"/>
  <c r="M246" i="13"/>
  <c r="F246" i="13"/>
  <c r="Q245" i="13"/>
  <c r="P245" i="13"/>
  <c r="O245" i="13"/>
  <c r="N245" i="13"/>
  <c r="M245" i="13"/>
  <c r="F245" i="13"/>
  <c r="Q244" i="13"/>
  <c r="P244" i="13"/>
  <c r="O244" i="13"/>
  <c r="N244" i="13"/>
  <c r="M244" i="13"/>
  <c r="F244" i="13"/>
  <c r="Q243" i="13"/>
  <c r="P243" i="13"/>
  <c r="O243" i="13"/>
  <c r="N243" i="13"/>
  <c r="M243" i="13"/>
  <c r="F243" i="13"/>
  <c r="Q242" i="13"/>
  <c r="P242" i="13"/>
  <c r="O242" i="13"/>
  <c r="N242" i="13"/>
  <c r="M242" i="13"/>
  <c r="F242" i="13"/>
  <c r="Q241" i="13"/>
  <c r="P241" i="13"/>
  <c r="O241" i="13"/>
  <c r="N241" i="13"/>
  <c r="M241" i="13"/>
  <c r="F241" i="13"/>
  <c r="Q240" i="13"/>
  <c r="P240" i="13"/>
  <c r="O240" i="13"/>
  <c r="N240" i="13"/>
  <c r="M240" i="13"/>
  <c r="F240" i="13"/>
  <c r="Q239" i="13"/>
  <c r="P239" i="13"/>
  <c r="O239" i="13"/>
  <c r="N239" i="13"/>
  <c r="M239" i="13"/>
  <c r="F239" i="13"/>
  <c r="Q238" i="13"/>
  <c r="P238" i="13"/>
  <c r="O238" i="13"/>
  <c r="N238" i="13"/>
  <c r="M238" i="13"/>
  <c r="F238" i="13"/>
  <c r="Q237" i="13"/>
  <c r="P237" i="13"/>
  <c r="O237" i="13"/>
  <c r="N237" i="13"/>
  <c r="M237" i="13"/>
  <c r="F237" i="13"/>
  <c r="Q236" i="13"/>
  <c r="P236" i="13"/>
  <c r="O236" i="13"/>
  <c r="N236" i="13"/>
  <c r="M236" i="13"/>
  <c r="F236" i="13"/>
  <c r="Q235" i="13"/>
  <c r="P235" i="13"/>
  <c r="O235" i="13"/>
  <c r="N235" i="13"/>
  <c r="M235" i="13"/>
  <c r="F235" i="13"/>
  <c r="Q234" i="13"/>
  <c r="P234" i="13"/>
  <c r="O234" i="13"/>
  <c r="N234" i="13"/>
  <c r="M234" i="13"/>
  <c r="F234" i="13"/>
  <c r="Q233" i="13"/>
  <c r="P233" i="13"/>
  <c r="O233" i="13"/>
  <c r="N233" i="13"/>
  <c r="M233" i="13"/>
  <c r="F233" i="13"/>
  <c r="Q232" i="13"/>
  <c r="P232" i="13"/>
  <c r="O232" i="13"/>
  <c r="N232" i="13"/>
  <c r="M232" i="13"/>
  <c r="F232" i="13"/>
  <c r="Q231" i="13"/>
  <c r="P231" i="13"/>
  <c r="O231" i="13"/>
  <c r="N231" i="13"/>
  <c r="M231" i="13"/>
  <c r="F231" i="13"/>
  <c r="Q230" i="13"/>
  <c r="P230" i="13"/>
  <c r="O230" i="13"/>
  <c r="N230" i="13"/>
  <c r="M230" i="13"/>
  <c r="F230" i="13"/>
  <c r="Q229" i="13"/>
  <c r="P229" i="13"/>
  <c r="O229" i="13"/>
  <c r="N229" i="13"/>
  <c r="M229" i="13"/>
  <c r="F229" i="13"/>
  <c r="Q228" i="13"/>
  <c r="P228" i="13"/>
  <c r="O228" i="13"/>
  <c r="N228" i="13"/>
  <c r="M228" i="13"/>
  <c r="F228" i="13"/>
  <c r="Q227" i="13"/>
  <c r="P227" i="13"/>
  <c r="O227" i="13"/>
  <c r="N227" i="13"/>
  <c r="M227" i="13"/>
  <c r="F227" i="13"/>
  <c r="Q226" i="13"/>
  <c r="P226" i="13"/>
  <c r="O226" i="13"/>
  <c r="N226" i="13"/>
  <c r="M226" i="13"/>
  <c r="F226" i="13"/>
  <c r="Q225" i="13"/>
  <c r="P225" i="13"/>
  <c r="O225" i="13"/>
  <c r="N225" i="13"/>
  <c r="M225" i="13"/>
  <c r="F225" i="13"/>
  <c r="Q224" i="13"/>
  <c r="P224" i="13"/>
  <c r="O224" i="13"/>
  <c r="N224" i="13"/>
  <c r="M224" i="13"/>
  <c r="F224" i="13"/>
  <c r="Q223" i="13"/>
  <c r="P223" i="13"/>
  <c r="O223" i="13"/>
  <c r="N223" i="13"/>
  <c r="M223" i="13"/>
  <c r="F223" i="13"/>
  <c r="Q222" i="13"/>
  <c r="P222" i="13"/>
  <c r="O222" i="13"/>
  <c r="N222" i="13"/>
  <c r="M222" i="13"/>
  <c r="F222" i="13"/>
  <c r="Q221" i="13"/>
  <c r="P221" i="13"/>
  <c r="O221" i="13"/>
  <c r="N221" i="13"/>
  <c r="M221" i="13"/>
  <c r="F221" i="13"/>
  <c r="Q220" i="13"/>
  <c r="P220" i="13"/>
  <c r="O220" i="13"/>
  <c r="N220" i="13"/>
  <c r="M220" i="13"/>
  <c r="F220" i="13"/>
  <c r="Q219" i="13"/>
  <c r="P219" i="13"/>
  <c r="O219" i="13"/>
  <c r="N219" i="13"/>
  <c r="M219" i="13"/>
  <c r="F219" i="13"/>
  <c r="Q218" i="13"/>
  <c r="P218" i="13"/>
  <c r="O218" i="13"/>
  <c r="N218" i="13"/>
  <c r="M218" i="13"/>
  <c r="F218" i="13"/>
  <c r="Q217" i="13"/>
  <c r="P217" i="13"/>
  <c r="O217" i="13"/>
  <c r="N217" i="13"/>
  <c r="M217" i="13"/>
  <c r="F217" i="13"/>
  <c r="Q216" i="13"/>
  <c r="P216" i="13"/>
  <c r="O216" i="13"/>
  <c r="N216" i="13"/>
  <c r="M216" i="13"/>
  <c r="F216" i="13"/>
  <c r="Q215" i="13"/>
  <c r="P215" i="13"/>
  <c r="O215" i="13"/>
  <c r="N215" i="13"/>
  <c r="M215" i="13"/>
  <c r="F215" i="13"/>
  <c r="Q214" i="13"/>
  <c r="P214" i="13"/>
  <c r="O214" i="13"/>
  <c r="N214" i="13"/>
  <c r="M214" i="13"/>
  <c r="F214" i="13"/>
  <c r="Q213" i="13"/>
  <c r="P213" i="13"/>
  <c r="O213" i="13"/>
  <c r="N213" i="13"/>
  <c r="M213" i="13"/>
  <c r="F213" i="13"/>
  <c r="Q212" i="13"/>
  <c r="P212" i="13"/>
  <c r="O212" i="13"/>
  <c r="N212" i="13"/>
  <c r="M212" i="13"/>
  <c r="F212" i="13"/>
  <c r="Q211" i="13"/>
  <c r="P211" i="13"/>
  <c r="O211" i="13"/>
  <c r="N211" i="13"/>
  <c r="M211" i="13"/>
  <c r="F211" i="13"/>
  <c r="Q210" i="13"/>
  <c r="P210" i="13"/>
  <c r="O210" i="13"/>
  <c r="N210" i="13"/>
  <c r="M210" i="13"/>
  <c r="F210" i="13"/>
  <c r="Q209" i="13"/>
  <c r="P209" i="13"/>
  <c r="O209" i="13"/>
  <c r="N209" i="13"/>
  <c r="M209" i="13"/>
  <c r="F209" i="13"/>
  <c r="Q208" i="13"/>
  <c r="P208" i="13"/>
  <c r="O208" i="13"/>
  <c r="N208" i="13"/>
  <c r="M208" i="13"/>
  <c r="F208" i="13"/>
  <c r="Q207" i="13"/>
  <c r="P207" i="13"/>
  <c r="O207" i="13"/>
  <c r="N207" i="13"/>
  <c r="M207" i="13"/>
  <c r="F207" i="13"/>
  <c r="Q206" i="13"/>
  <c r="P206" i="13"/>
  <c r="O206" i="13"/>
  <c r="N206" i="13"/>
  <c r="M206" i="13"/>
  <c r="F206" i="13"/>
  <c r="Q205" i="13"/>
  <c r="P205" i="13"/>
  <c r="O205" i="13"/>
  <c r="N205" i="13"/>
  <c r="M205" i="13"/>
  <c r="F205" i="13"/>
  <c r="Q204" i="13"/>
  <c r="P204" i="13"/>
  <c r="O204" i="13"/>
  <c r="N204" i="13"/>
  <c r="M204" i="13"/>
  <c r="F204" i="13"/>
  <c r="Q203" i="13"/>
  <c r="P203" i="13"/>
  <c r="O203" i="13"/>
  <c r="N203" i="13"/>
  <c r="M203" i="13"/>
  <c r="F203" i="13"/>
  <c r="Q202" i="13"/>
  <c r="P202" i="13"/>
  <c r="O202" i="13"/>
  <c r="N202" i="13"/>
  <c r="M202" i="13"/>
  <c r="F202" i="13"/>
  <c r="Q201" i="13"/>
  <c r="P201" i="13"/>
  <c r="O201" i="13"/>
  <c r="N201" i="13"/>
  <c r="M201" i="13"/>
  <c r="F201" i="13"/>
  <c r="Q200" i="13"/>
  <c r="P200" i="13"/>
  <c r="O200" i="13"/>
  <c r="N200" i="13"/>
  <c r="M200" i="13"/>
  <c r="F200" i="13"/>
  <c r="Q199" i="13"/>
  <c r="P199" i="13"/>
  <c r="O199" i="13"/>
  <c r="N199" i="13"/>
  <c r="M199" i="13"/>
  <c r="F199" i="13"/>
  <c r="Q198" i="13"/>
  <c r="P198" i="13"/>
  <c r="O198" i="13"/>
  <c r="N198" i="13"/>
  <c r="M198" i="13"/>
  <c r="F198" i="13"/>
  <c r="Q197" i="13"/>
  <c r="P197" i="13"/>
  <c r="O197" i="13"/>
  <c r="N197" i="13"/>
  <c r="M197" i="13"/>
  <c r="F197" i="13"/>
  <c r="Q196" i="13"/>
  <c r="P196" i="13"/>
  <c r="O196" i="13"/>
  <c r="N196" i="13"/>
  <c r="M196" i="13"/>
  <c r="F196" i="13"/>
  <c r="Q195" i="13"/>
  <c r="P195" i="13"/>
  <c r="O195" i="13"/>
  <c r="N195" i="13"/>
  <c r="M195" i="13"/>
  <c r="F195" i="13"/>
  <c r="Q194" i="13"/>
  <c r="P194" i="13"/>
  <c r="O194" i="13"/>
  <c r="N194" i="13"/>
  <c r="M194" i="13"/>
  <c r="F194" i="13"/>
  <c r="Q193" i="13"/>
  <c r="P193" i="13"/>
  <c r="O193" i="13"/>
  <c r="N193" i="13"/>
  <c r="M193" i="13"/>
  <c r="F193" i="13"/>
  <c r="Q192" i="13"/>
  <c r="P192" i="13"/>
  <c r="O192" i="13"/>
  <c r="N192" i="13"/>
  <c r="M192" i="13"/>
  <c r="F192" i="13"/>
  <c r="Q191" i="13"/>
  <c r="P191" i="13"/>
  <c r="O191" i="13"/>
  <c r="N191" i="13"/>
  <c r="M191" i="13"/>
  <c r="F191" i="13"/>
  <c r="Q190" i="13"/>
  <c r="P190" i="13"/>
  <c r="O190" i="13"/>
  <c r="N190" i="13"/>
  <c r="M190" i="13"/>
  <c r="F190" i="13"/>
  <c r="Q189" i="13"/>
  <c r="P189" i="13"/>
  <c r="O189" i="13"/>
  <c r="N189" i="13"/>
  <c r="M189" i="13"/>
  <c r="F189" i="13"/>
  <c r="Q188" i="13"/>
  <c r="P188" i="13"/>
  <c r="O188" i="13"/>
  <c r="N188" i="13"/>
  <c r="M188" i="13"/>
  <c r="F188" i="13"/>
  <c r="Q187" i="13"/>
  <c r="P187" i="13"/>
  <c r="O187" i="13"/>
  <c r="N187" i="13"/>
  <c r="M187" i="13"/>
  <c r="F187" i="13"/>
  <c r="Q186" i="13"/>
  <c r="P186" i="13"/>
  <c r="O186" i="13"/>
  <c r="N186" i="13"/>
  <c r="M186" i="13"/>
  <c r="F186" i="13"/>
  <c r="Q185" i="13"/>
  <c r="P185" i="13"/>
  <c r="O185" i="13"/>
  <c r="N185" i="13"/>
  <c r="M185" i="13"/>
  <c r="F185" i="13"/>
  <c r="Q184" i="13"/>
  <c r="P184" i="13"/>
  <c r="O184" i="13"/>
  <c r="N184" i="13"/>
  <c r="M184" i="13"/>
  <c r="F184" i="13"/>
  <c r="Q183" i="13"/>
  <c r="P183" i="13"/>
  <c r="O183" i="13"/>
  <c r="N183" i="13"/>
  <c r="M183" i="13"/>
  <c r="F183" i="13"/>
  <c r="Q182" i="13"/>
  <c r="P182" i="13"/>
  <c r="O182" i="13"/>
  <c r="N182" i="13"/>
  <c r="M182" i="13"/>
  <c r="F182" i="13"/>
  <c r="Q181" i="13"/>
  <c r="P181" i="13"/>
  <c r="O181" i="13"/>
  <c r="N181" i="13"/>
  <c r="M181" i="13"/>
  <c r="F181" i="13"/>
  <c r="Q180" i="13"/>
  <c r="P180" i="13"/>
  <c r="O180" i="13"/>
  <c r="N180" i="13"/>
  <c r="M180" i="13"/>
  <c r="F180" i="13"/>
  <c r="Q179" i="13"/>
  <c r="P179" i="13"/>
  <c r="O179" i="13"/>
  <c r="N179" i="13"/>
  <c r="M179" i="13"/>
  <c r="F179" i="13"/>
  <c r="Q178" i="13"/>
  <c r="P178" i="13"/>
  <c r="O178" i="13"/>
  <c r="N178" i="13"/>
  <c r="M178" i="13"/>
  <c r="F178" i="13"/>
  <c r="Q177" i="13"/>
  <c r="P177" i="13"/>
  <c r="O177" i="13"/>
  <c r="N177" i="13"/>
  <c r="M177" i="13"/>
  <c r="F177" i="13"/>
  <c r="Q176" i="13"/>
  <c r="P176" i="13"/>
  <c r="O176" i="13"/>
  <c r="N176" i="13"/>
  <c r="M176" i="13"/>
  <c r="F176" i="13"/>
  <c r="Q175" i="13"/>
  <c r="P175" i="13"/>
  <c r="O175" i="13"/>
  <c r="N175" i="13"/>
  <c r="M175" i="13"/>
  <c r="F175" i="13"/>
  <c r="Q174" i="13"/>
  <c r="P174" i="13"/>
  <c r="O174" i="13"/>
  <c r="N174" i="13"/>
  <c r="M174" i="13"/>
  <c r="F174" i="13"/>
  <c r="Q173" i="13"/>
  <c r="P173" i="13"/>
  <c r="O173" i="13"/>
  <c r="N173" i="13"/>
  <c r="M173" i="13"/>
  <c r="F173" i="13"/>
  <c r="Q172" i="13"/>
  <c r="P172" i="13"/>
  <c r="O172" i="13"/>
  <c r="N172" i="13"/>
  <c r="M172" i="13"/>
  <c r="F172" i="13"/>
  <c r="V6" i="13"/>
  <c r="U6" i="13"/>
  <c r="T6" i="13"/>
  <c r="S6" i="13"/>
  <c r="C6" i="13"/>
  <c r="U5" i="13"/>
  <c r="S5" i="13"/>
  <c r="B5" i="13"/>
  <c r="F172" i="12" l="1"/>
  <c r="F173" i="12"/>
  <c r="F174" i="12"/>
  <c r="F175" i="12"/>
  <c r="F176" i="12"/>
  <c r="F177" i="12"/>
  <c r="F178" i="12"/>
  <c r="F179" i="12"/>
  <c r="F180" i="12"/>
  <c r="F181" i="12"/>
  <c r="F182" i="12"/>
  <c r="F183" i="12"/>
  <c r="F184" i="12"/>
  <c r="F185" i="12"/>
  <c r="F186" i="12"/>
  <c r="F187" i="12"/>
  <c r="F188" i="12"/>
  <c r="F189" i="12"/>
  <c r="F190" i="12"/>
  <c r="F191" i="12"/>
  <c r="F192" i="12"/>
  <c r="F193" i="12"/>
  <c r="F194" i="12"/>
  <c r="F195" i="12"/>
  <c r="F196" i="12"/>
  <c r="F197" i="12"/>
  <c r="F198" i="12"/>
  <c r="F199" i="12"/>
  <c r="F200" i="12"/>
  <c r="F201" i="12"/>
  <c r="F202" i="12"/>
  <c r="F203" i="12"/>
  <c r="F204" i="12"/>
  <c r="F205" i="12"/>
  <c r="F206" i="12"/>
  <c r="F207" i="12"/>
  <c r="F208" i="12"/>
  <c r="F209" i="12"/>
  <c r="F210" i="12"/>
  <c r="F211" i="12"/>
  <c r="F212" i="12"/>
  <c r="F213" i="12"/>
  <c r="F214" i="12"/>
  <c r="F215" i="12"/>
  <c r="F216" i="12"/>
  <c r="F217" i="12"/>
  <c r="F218" i="12"/>
  <c r="F219" i="12"/>
  <c r="F220" i="12"/>
  <c r="F221" i="12"/>
  <c r="F222" i="12"/>
  <c r="F223" i="12"/>
  <c r="F224" i="12"/>
  <c r="F225" i="12"/>
  <c r="F226" i="12"/>
  <c r="F227" i="12"/>
  <c r="F228" i="12"/>
  <c r="F229" i="12"/>
  <c r="F230" i="12"/>
  <c r="F231" i="12"/>
  <c r="F232" i="12"/>
  <c r="F233" i="12"/>
  <c r="F234" i="12"/>
  <c r="F235" i="12"/>
  <c r="F236" i="12"/>
  <c r="F237" i="12"/>
  <c r="F238" i="12"/>
  <c r="F239" i="12"/>
  <c r="F240" i="12"/>
  <c r="F241" i="12"/>
  <c r="F242" i="12"/>
  <c r="F243" i="12"/>
  <c r="F244" i="12"/>
  <c r="F245" i="12"/>
  <c r="F246" i="12"/>
  <c r="F247" i="12"/>
  <c r="F248" i="12"/>
  <c r="F249" i="12"/>
  <c r="F250" i="12"/>
  <c r="F251" i="12"/>
  <c r="F252" i="12"/>
  <c r="F253" i="12"/>
  <c r="F254" i="12"/>
  <c r="F255" i="12"/>
  <c r="F256" i="12"/>
  <c r="F257" i="12"/>
  <c r="F258" i="12"/>
  <c r="F259" i="12"/>
  <c r="F260" i="12"/>
  <c r="F261" i="12"/>
  <c r="F262" i="12"/>
  <c r="F263" i="12"/>
  <c r="F264" i="12"/>
  <c r="F265" i="12"/>
  <c r="F266" i="12"/>
  <c r="F267" i="12"/>
  <c r="F268" i="12"/>
  <c r="F269" i="12"/>
  <c r="F270" i="12"/>
  <c r="F271" i="12"/>
  <c r="F272" i="12"/>
  <c r="F273" i="12"/>
  <c r="F274" i="12"/>
  <c r="F275" i="12"/>
  <c r="F276" i="12"/>
  <c r="F277" i="12"/>
  <c r="F278" i="12"/>
  <c r="F279" i="12"/>
  <c r="F280" i="12"/>
  <c r="F281" i="12"/>
  <c r="F282" i="12"/>
  <c r="F283" i="12"/>
  <c r="F284" i="12"/>
  <c r="F285" i="12"/>
  <c r="F286" i="12"/>
  <c r="F287" i="12"/>
  <c r="F288" i="12"/>
  <c r="F289" i="12"/>
  <c r="F290" i="12"/>
  <c r="F291" i="12"/>
  <c r="F292" i="12"/>
  <c r="F293" i="12"/>
  <c r="Q301" i="12"/>
  <c r="P301" i="12"/>
  <c r="O301" i="12"/>
  <c r="N301" i="12"/>
  <c r="M301" i="12"/>
  <c r="Q300" i="12"/>
  <c r="P300" i="12"/>
  <c r="O300" i="12"/>
  <c r="N300" i="12"/>
  <c r="M300" i="12"/>
  <c r="Q299" i="12"/>
  <c r="P299" i="12"/>
  <c r="O299" i="12"/>
  <c r="N299" i="12"/>
  <c r="M299" i="12"/>
  <c r="Q298" i="12"/>
  <c r="P298" i="12"/>
  <c r="O298" i="12"/>
  <c r="N298" i="12"/>
  <c r="M298" i="12"/>
  <c r="Q297" i="12"/>
  <c r="P297" i="12"/>
  <c r="O297" i="12"/>
  <c r="N297" i="12"/>
  <c r="M297" i="12"/>
  <c r="Q296" i="12"/>
  <c r="P296" i="12"/>
  <c r="O296" i="12"/>
  <c r="N296" i="12"/>
  <c r="M296" i="12"/>
  <c r="Q295" i="12"/>
  <c r="P295" i="12"/>
  <c r="O295" i="12"/>
  <c r="N295" i="12"/>
  <c r="M295" i="12"/>
  <c r="Q294" i="12"/>
  <c r="P294" i="12"/>
  <c r="O294" i="12"/>
  <c r="N294" i="12"/>
  <c r="M294" i="12"/>
  <c r="Q293" i="12"/>
  <c r="P293" i="12"/>
  <c r="O293" i="12"/>
  <c r="N293" i="12"/>
  <c r="M293" i="12"/>
  <c r="Q292" i="12"/>
  <c r="P292" i="12"/>
  <c r="O292" i="12"/>
  <c r="N292" i="12"/>
  <c r="M292" i="12"/>
  <c r="Q291" i="12"/>
  <c r="P291" i="12"/>
  <c r="O291" i="12"/>
  <c r="N291" i="12"/>
  <c r="M291" i="12"/>
  <c r="Q290" i="12"/>
  <c r="P290" i="12"/>
  <c r="O290" i="12"/>
  <c r="N290" i="12"/>
  <c r="M290" i="12"/>
  <c r="Q289" i="12"/>
  <c r="P289" i="12"/>
  <c r="O289" i="12"/>
  <c r="N289" i="12"/>
  <c r="M289" i="12"/>
  <c r="Q288" i="12"/>
  <c r="P288" i="12"/>
  <c r="O288" i="12"/>
  <c r="N288" i="12"/>
  <c r="M288" i="12"/>
  <c r="Q287" i="12"/>
  <c r="P287" i="12"/>
  <c r="O287" i="12"/>
  <c r="N287" i="12"/>
  <c r="M287" i="12"/>
  <c r="Q286" i="12"/>
  <c r="P286" i="12"/>
  <c r="O286" i="12"/>
  <c r="N286" i="12"/>
  <c r="M286" i="12"/>
  <c r="Q285" i="12"/>
  <c r="P285" i="12"/>
  <c r="O285" i="12"/>
  <c r="N285" i="12"/>
  <c r="M285" i="12"/>
  <c r="Q284" i="12"/>
  <c r="P284" i="12"/>
  <c r="O284" i="12"/>
  <c r="N284" i="12"/>
  <c r="M284" i="12"/>
  <c r="Q283" i="12"/>
  <c r="P283" i="12"/>
  <c r="O283" i="12"/>
  <c r="N283" i="12"/>
  <c r="M283" i="12"/>
  <c r="Q282" i="12"/>
  <c r="P282" i="12"/>
  <c r="O282" i="12"/>
  <c r="N282" i="12"/>
  <c r="M282" i="12"/>
  <c r="Q281" i="12"/>
  <c r="P281" i="12"/>
  <c r="O281" i="12"/>
  <c r="N281" i="12"/>
  <c r="M281" i="12"/>
  <c r="Q280" i="12"/>
  <c r="P280" i="12"/>
  <c r="O280" i="12"/>
  <c r="N280" i="12"/>
  <c r="M280" i="12"/>
  <c r="Q279" i="12"/>
  <c r="P279" i="12"/>
  <c r="O279" i="12"/>
  <c r="N279" i="12"/>
  <c r="M279" i="12"/>
  <c r="Q278" i="12"/>
  <c r="P278" i="12"/>
  <c r="O278" i="12"/>
  <c r="N278" i="12"/>
  <c r="M278" i="12"/>
  <c r="Q277" i="12"/>
  <c r="P277" i="12"/>
  <c r="O277" i="12"/>
  <c r="N277" i="12"/>
  <c r="M277" i="12"/>
  <c r="Q276" i="12"/>
  <c r="P276" i="12"/>
  <c r="O276" i="12"/>
  <c r="N276" i="12"/>
  <c r="M276" i="12"/>
  <c r="Q275" i="12"/>
  <c r="P275" i="12"/>
  <c r="O275" i="12"/>
  <c r="N275" i="12"/>
  <c r="M275" i="12"/>
  <c r="Q274" i="12"/>
  <c r="P274" i="12"/>
  <c r="O274" i="12"/>
  <c r="N274" i="12"/>
  <c r="M274" i="12"/>
  <c r="Q273" i="12"/>
  <c r="P273" i="12"/>
  <c r="O273" i="12"/>
  <c r="N273" i="12"/>
  <c r="M273" i="12"/>
  <c r="Q272" i="12"/>
  <c r="P272" i="12"/>
  <c r="O272" i="12"/>
  <c r="N272" i="12"/>
  <c r="M272" i="12"/>
  <c r="Q271" i="12"/>
  <c r="P271" i="12"/>
  <c r="O271" i="12"/>
  <c r="N271" i="12"/>
  <c r="M271" i="12"/>
  <c r="Q270" i="12"/>
  <c r="P270" i="12"/>
  <c r="O270" i="12"/>
  <c r="N270" i="12"/>
  <c r="M270" i="12"/>
  <c r="Q269" i="12"/>
  <c r="P269" i="12"/>
  <c r="O269" i="12"/>
  <c r="N269" i="12"/>
  <c r="M269" i="12"/>
  <c r="Q268" i="12"/>
  <c r="P268" i="12"/>
  <c r="O268" i="12"/>
  <c r="N268" i="12"/>
  <c r="M268" i="12"/>
  <c r="Q267" i="12"/>
  <c r="P267" i="12"/>
  <c r="O267" i="12"/>
  <c r="N267" i="12"/>
  <c r="M267" i="12"/>
  <c r="Q266" i="12"/>
  <c r="P266" i="12"/>
  <c r="O266" i="12"/>
  <c r="N266" i="12"/>
  <c r="M266" i="12"/>
  <c r="Q265" i="12"/>
  <c r="P265" i="12"/>
  <c r="O265" i="12"/>
  <c r="N265" i="12"/>
  <c r="M265" i="12"/>
  <c r="Q264" i="12"/>
  <c r="P264" i="12"/>
  <c r="O264" i="12"/>
  <c r="N264" i="12"/>
  <c r="M264" i="12"/>
  <c r="Q263" i="12"/>
  <c r="P263" i="12"/>
  <c r="O263" i="12"/>
  <c r="N263" i="12"/>
  <c r="M263" i="12"/>
  <c r="Q262" i="12"/>
  <c r="P262" i="12"/>
  <c r="O262" i="12"/>
  <c r="N262" i="12"/>
  <c r="M262" i="12"/>
  <c r="Q261" i="12"/>
  <c r="P261" i="12"/>
  <c r="O261" i="12"/>
  <c r="N261" i="12"/>
  <c r="M261" i="12"/>
  <c r="Q260" i="12"/>
  <c r="P260" i="12"/>
  <c r="O260" i="12"/>
  <c r="N260" i="12"/>
  <c r="M260" i="12"/>
  <c r="Q259" i="12"/>
  <c r="P259" i="12"/>
  <c r="O259" i="12"/>
  <c r="N259" i="12"/>
  <c r="M259" i="12"/>
  <c r="Q258" i="12"/>
  <c r="P258" i="12"/>
  <c r="O258" i="12"/>
  <c r="N258" i="12"/>
  <c r="M258" i="12"/>
  <c r="Q257" i="12"/>
  <c r="P257" i="12"/>
  <c r="O257" i="12"/>
  <c r="N257" i="12"/>
  <c r="M257" i="12"/>
  <c r="Q256" i="12"/>
  <c r="P256" i="12"/>
  <c r="O256" i="12"/>
  <c r="N256" i="12"/>
  <c r="M256" i="12"/>
  <c r="Q255" i="12"/>
  <c r="P255" i="12"/>
  <c r="O255" i="12"/>
  <c r="N255" i="12"/>
  <c r="M255" i="12"/>
  <c r="Q254" i="12"/>
  <c r="P254" i="12"/>
  <c r="O254" i="12"/>
  <c r="N254" i="12"/>
  <c r="M254" i="12"/>
  <c r="Q253" i="12"/>
  <c r="P253" i="12"/>
  <c r="O253" i="12"/>
  <c r="N253" i="12"/>
  <c r="M253" i="12"/>
  <c r="Q252" i="12"/>
  <c r="P252" i="12"/>
  <c r="O252" i="12"/>
  <c r="N252" i="12"/>
  <c r="M252" i="12"/>
  <c r="Q251" i="12"/>
  <c r="P251" i="12"/>
  <c r="O251" i="12"/>
  <c r="N251" i="12"/>
  <c r="M251" i="12"/>
  <c r="Q250" i="12"/>
  <c r="P250" i="12"/>
  <c r="O250" i="12"/>
  <c r="N250" i="12"/>
  <c r="M250" i="12"/>
  <c r="Q249" i="12"/>
  <c r="P249" i="12"/>
  <c r="O249" i="12"/>
  <c r="N249" i="12"/>
  <c r="M249" i="12"/>
  <c r="Q248" i="12"/>
  <c r="P248" i="12"/>
  <c r="O248" i="12"/>
  <c r="N248" i="12"/>
  <c r="M248" i="12"/>
  <c r="Q247" i="12"/>
  <c r="P247" i="12"/>
  <c r="O247" i="12"/>
  <c r="N247" i="12"/>
  <c r="M247" i="12"/>
  <c r="Q246" i="12"/>
  <c r="P246" i="12"/>
  <c r="O246" i="12"/>
  <c r="N246" i="12"/>
  <c r="M246" i="12"/>
  <c r="Q245" i="12"/>
  <c r="P245" i="12"/>
  <c r="O245" i="12"/>
  <c r="N245" i="12"/>
  <c r="M245" i="12"/>
  <c r="Q244" i="12"/>
  <c r="P244" i="12"/>
  <c r="O244" i="12"/>
  <c r="N244" i="12"/>
  <c r="M244" i="12"/>
  <c r="Q243" i="12"/>
  <c r="P243" i="12"/>
  <c r="O243" i="12"/>
  <c r="N243" i="12"/>
  <c r="M243" i="12"/>
  <c r="Q242" i="12"/>
  <c r="P242" i="12"/>
  <c r="O242" i="12"/>
  <c r="N242" i="12"/>
  <c r="M242" i="12"/>
  <c r="Q241" i="12"/>
  <c r="P241" i="12"/>
  <c r="O241" i="12"/>
  <c r="N241" i="12"/>
  <c r="M241" i="12"/>
  <c r="Q240" i="12"/>
  <c r="P240" i="12"/>
  <c r="O240" i="12"/>
  <c r="N240" i="12"/>
  <c r="M240" i="12"/>
  <c r="Q239" i="12"/>
  <c r="P239" i="12"/>
  <c r="O239" i="12"/>
  <c r="N239" i="12"/>
  <c r="M239" i="12"/>
  <c r="Q238" i="12"/>
  <c r="P238" i="12"/>
  <c r="O238" i="12"/>
  <c r="N238" i="12"/>
  <c r="M238" i="12"/>
  <c r="Q237" i="12"/>
  <c r="P237" i="12"/>
  <c r="O237" i="12"/>
  <c r="N237" i="12"/>
  <c r="M237" i="12"/>
  <c r="Q236" i="12"/>
  <c r="P236" i="12"/>
  <c r="O236" i="12"/>
  <c r="N236" i="12"/>
  <c r="M236" i="12"/>
  <c r="Q235" i="12"/>
  <c r="P235" i="12"/>
  <c r="O235" i="12"/>
  <c r="N235" i="12"/>
  <c r="M235" i="12"/>
  <c r="Q234" i="12"/>
  <c r="P234" i="12"/>
  <c r="O234" i="12"/>
  <c r="N234" i="12"/>
  <c r="M234" i="12"/>
  <c r="Q233" i="12"/>
  <c r="P233" i="12"/>
  <c r="O233" i="12"/>
  <c r="N233" i="12"/>
  <c r="M233" i="12"/>
  <c r="Q232" i="12"/>
  <c r="P232" i="12"/>
  <c r="O232" i="12"/>
  <c r="N232" i="12"/>
  <c r="M232" i="12"/>
  <c r="Q231" i="12"/>
  <c r="P231" i="12"/>
  <c r="O231" i="12"/>
  <c r="N231" i="12"/>
  <c r="M231" i="12"/>
  <c r="Q230" i="12"/>
  <c r="P230" i="12"/>
  <c r="O230" i="12"/>
  <c r="N230" i="12"/>
  <c r="M230" i="12"/>
  <c r="Q229" i="12"/>
  <c r="P229" i="12"/>
  <c r="O229" i="12"/>
  <c r="N229" i="12"/>
  <c r="M229" i="12"/>
  <c r="Q228" i="12"/>
  <c r="P228" i="12"/>
  <c r="O228" i="12"/>
  <c r="N228" i="12"/>
  <c r="M228" i="12"/>
  <c r="Q227" i="12"/>
  <c r="P227" i="12"/>
  <c r="O227" i="12"/>
  <c r="N227" i="12"/>
  <c r="M227" i="12"/>
  <c r="Q226" i="12"/>
  <c r="P226" i="12"/>
  <c r="O226" i="12"/>
  <c r="N226" i="12"/>
  <c r="M226" i="12"/>
  <c r="Q225" i="12"/>
  <c r="P225" i="12"/>
  <c r="O225" i="12"/>
  <c r="N225" i="12"/>
  <c r="M225" i="12"/>
  <c r="Q224" i="12"/>
  <c r="P224" i="12"/>
  <c r="O224" i="12"/>
  <c r="N224" i="12"/>
  <c r="M224" i="12"/>
  <c r="Q223" i="12"/>
  <c r="P223" i="12"/>
  <c r="O223" i="12"/>
  <c r="N223" i="12"/>
  <c r="M223" i="12"/>
  <c r="Q222" i="12"/>
  <c r="P222" i="12"/>
  <c r="O222" i="12"/>
  <c r="N222" i="12"/>
  <c r="M222" i="12"/>
  <c r="Q221" i="12"/>
  <c r="P221" i="12"/>
  <c r="O221" i="12"/>
  <c r="N221" i="12"/>
  <c r="M221" i="12"/>
  <c r="Q220" i="12"/>
  <c r="P220" i="12"/>
  <c r="O220" i="12"/>
  <c r="N220" i="12"/>
  <c r="M220" i="12"/>
  <c r="Q219" i="12"/>
  <c r="P219" i="12"/>
  <c r="O219" i="12"/>
  <c r="N219" i="12"/>
  <c r="M219" i="12"/>
  <c r="Q218" i="12"/>
  <c r="P218" i="12"/>
  <c r="O218" i="12"/>
  <c r="N218" i="12"/>
  <c r="M218" i="12"/>
  <c r="Q217" i="12"/>
  <c r="P217" i="12"/>
  <c r="O217" i="12"/>
  <c r="N217" i="12"/>
  <c r="M217" i="12"/>
  <c r="Q216" i="12"/>
  <c r="P216" i="12"/>
  <c r="O216" i="12"/>
  <c r="N216" i="12"/>
  <c r="M216" i="12"/>
  <c r="Q215" i="12"/>
  <c r="P215" i="12"/>
  <c r="O215" i="12"/>
  <c r="N215" i="12"/>
  <c r="M215" i="12"/>
  <c r="Q214" i="12"/>
  <c r="P214" i="12"/>
  <c r="O214" i="12"/>
  <c r="N214" i="12"/>
  <c r="M214" i="12"/>
  <c r="Q213" i="12"/>
  <c r="P213" i="12"/>
  <c r="O213" i="12"/>
  <c r="N213" i="12"/>
  <c r="M213" i="12"/>
  <c r="Q212" i="12"/>
  <c r="P212" i="12"/>
  <c r="O212" i="12"/>
  <c r="N212" i="12"/>
  <c r="M212" i="12"/>
  <c r="Q211" i="12"/>
  <c r="P211" i="12"/>
  <c r="O211" i="12"/>
  <c r="N211" i="12"/>
  <c r="M211" i="12"/>
  <c r="Q210" i="12"/>
  <c r="P210" i="12"/>
  <c r="O210" i="12"/>
  <c r="N210" i="12"/>
  <c r="M210" i="12"/>
  <c r="Q209" i="12"/>
  <c r="P209" i="12"/>
  <c r="O209" i="12"/>
  <c r="N209" i="12"/>
  <c r="M209" i="12"/>
  <c r="Q208" i="12"/>
  <c r="P208" i="12"/>
  <c r="O208" i="12"/>
  <c r="N208" i="12"/>
  <c r="M208" i="12"/>
  <c r="Q207" i="12"/>
  <c r="P207" i="12"/>
  <c r="O207" i="12"/>
  <c r="N207" i="12"/>
  <c r="M207" i="12"/>
  <c r="Q206" i="12"/>
  <c r="P206" i="12"/>
  <c r="O206" i="12"/>
  <c r="N206" i="12"/>
  <c r="M206" i="12"/>
  <c r="Q205" i="12"/>
  <c r="P205" i="12"/>
  <c r="O205" i="12"/>
  <c r="N205" i="12"/>
  <c r="M205" i="12"/>
  <c r="Q204" i="12"/>
  <c r="P204" i="12"/>
  <c r="O204" i="12"/>
  <c r="N204" i="12"/>
  <c r="M204" i="12"/>
  <c r="Q203" i="12"/>
  <c r="P203" i="12"/>
  <c r="O203" i="12"/>
  <c r="N203" i="12"/>
  <c r="M203" i="12"/>
  <c r="Q202" i="12"/>
  <c r="P202" i="12"/>
  <c r="O202" i="12"/>
  <c r="N202" i="12"/>
  <c r="M202" i="12"/>
  <c r="Q201" i="12"/>
  <c r="P201" i="12"/>
  <c r="O201" i="12"/>
  <c r="N201" i="12"/>
  <c r="M201" i="12"/>
  <c r="Q200" i="12"/>
  <c r="P200" i="12"/>
  <c r="O200" i="12"/>
  <c r="N200" i="12"/>
  <c r="M200" i="12"/>
  <c r="Q199" i="12"/>
  <c r="P199" i="12"/>
  <c r="O199" i="12"/>
  <c r="N199" i="12"/>
  <c r="M199" i="12"/>
  <c r="Q198" i="12"/>
  <c r="P198" i="12"/>
  <c r="O198" i="12"/>
  <c r="N198" i="12"/>
  <c r="M198" i="12"/>
  <c r="Q197" i="12"/>
  <c r="P197" i="12"/>
  <c r="O197" i="12"/>
  <c r="N197" i="12"/>
  <c r="M197" i="12"/>
  <c r="Q196" i="12"/>
  <c r="P196" i="12"/>
  <c r="O196" i="12"/>
  <c r="N196" i="12"/>
  <c r="M196" i="12"/>
  <c r="Q195" i="12"/>
  <c r="P195" i="12"/>
  <c r="O195" i="12"/>
  <c r="N195" i="12"/>
  <c r="M195" i="12"/>
  <c r="Q194" i="12"/>
  <c r="P194" i="12"/>
  <c r="O194" i="12"/>
  <c r="N194" i="12"/>
  <c r="M194" i="12"/>
  <c r="Q193" i="12"/>
  <c r="P193" i="12"/>
  <c r="O193" i="12"/>
  <c r="N193" i="12"/>
  <c r="M193" i="12"/>
  <c r="Q192" i="12"/>
  <c r="P192" i="12"/>
  <c r="O192" i="12"/>
  <c r="N192" i="12"/>
  <c r="M192" i="12"/>
  <c r="Q191" i="12"/>
  <c r="P191" i="12"/>
  <c r="O191" i="12"/>
  <c r="N191" i="12"/>
  <c r="M191" i="12"/>
  <c r="Q190" i="12"/>
  <c r="P190" i="12"/>
  <c r="O190" i="12"/>
  <c r="N190" i="12"/>
  <c r="M190" i="12"/>
  <c r="Q189" i="12"/>
  <c r="P189" i="12"/>
  <c r="O189" i="12"/>
  <c r="N189" i="12"/>
  <c r="M189" i="12"/>
  <c r="Q188" i="12"/>
  <c r="P188" i="12"/>
  <c r="O188" i="12"/>
  <c r="N188" i="12"/>
  <c r="M188" i="12"/>
  <c r="Q187" i="12"/>
  <c r="P187" i="12"/>
  <c r="O187" i="12"/>
  <c r="N187" i="12"/>
  <c r="M187" i="12"/>
  <c r="Q186" i="12"/>
  <c r="P186" i="12"/>
  <c r="O186" i="12"/>
  <c r="N186" i="12"/>
  <c r="M186" i="12"/>
  <c r="Q185" i="12"/>
  <c r="P185" i="12"/>
  <c r="O185" i="12"/>
  <c r="N185" i="12"/>
  <c r="M185" i="12"/>
  <c r="Q184" i="12"/>
  <c r="P184" i="12"/>
  <c r="O184" i="12"/>
  <c r="N184" i="12"/>
  <c r="M184" i="12"/>
  <c r="Q183" i="12"/>
  <c r="P183" i="12"/>
  <c r="O183" i="12"/>
  <c r="N183" i="12"/>
  <c r="M183" i="12"/>
  <c r="Q182" i="12"/>
  <c r="P182" i="12"/>
  <c r="O182" i="12"/>
  <c r="N182" i="12"/>
  <c r="M182" i="12"/>
  <c r="Q181" i="12"/>
  <c r="P181" i="12"/>
  <c r="O181" i="12"/>
  <c r="N181" i="12"/>
  <c r="M181" i="12"/>
  <c r="Q180" i="12"/>
  <c r="P180" i="12"/>
  <c r="O180" i="12"/>
  <c r="N180" i="12"/>
  <c r="M180" i="12"/>
  <c r="Q179" i="12"/>
  <c r="P179" i="12"/>
  <c r="O179" i="12"/>
  <c r="N179" i="12"/>
  <c r="M179" i="12"/>
  <c r="Q178" i="12"/>
  <c r="P178" i="12"/>
  <c r="O178" i="12"/>
  <c r="N178" i="12"/>
  <c r="M178" i="12"/>
  <c r="Q177" i="12"/>
  <c r="P177" i="12"/>
  <c r="O177" i="12"/>
  <c r="N177" i="12"/>
  <c r="M177" i="12"/>
  <c r="Q176" i="12"/>
  <c r="P176" i="12"/>
  <c r="O176" i="12"/>
  <c r="N176" i="12"/>
  <c r="M176" i="12"/>
  <c r="Q175" i="12"/>
  <c r="P175" i="12"/>
  <c r="O175" i="12"/>
  <c r="N175" i="12"/>
  <c r="M175" i="12"/>
  <c r="Q174" i="12"/>
  <c r="P174" i="12"/>
  <c r="O174" i="12"/>
  <c r="N174" i="12"/>
  <c r="M174" i="12"/>
  <c r="Q173" i="12"/>
  <c r="P173" i="12"/>
  <c r="O173" i="12"/>
  <c r="N173" i="12"/>
  <c r="M173" i="12"/>
  <c r="Q172" i="12"/>
  <c r="P172" i="12"/>
  <c r="O172" i="12"/>
  <c r="N172" i="12"/>
  <c r="M172" i="12"/>
  <c r="V6" i="12"/>
  <c r="U6" i="12"/>
  <c r="T6" i="12"/>
  <c r="S6" i="12"/>
  <c r="C6" i="12"/>
  <c r="U4" i="12"/>
  <c r="S4" i="12"/>
  <c r="B4" i="12"/>
  <c r="J36" i="6"/>
  <c r="K36" i="6"/>
  <c r="J37" i="6"/>
  <c r="K37" i="6"/>
  <c r="J38" i="6"/>
  <c r="K38" i="6"/>
  <c r="J39" i="6"/>
  <c r="K39" i="6"/>
  <c r="J17" i="6"/>
  <c r="J18" i="6"/>
  <c r="J19" i="6"/>
  <c r="J20" i="6"/>
  <c r="J21" i="6"/>
  <c r="J22" i="6"/>
  <c r="J23" i="6"/>
  <c r="J24" i="6"/>
  <c r="J25" i="6"/>
  <c r="J26" i="6"/>
  <c r="J27" i="6"/>
  <c r="J28" i="6"/>
  <c r="J29" i="6"/>
  <c r="J30" i="6"/>
  <c r="J31" i="6"/>
  <c r="J32" i="6"/>
  <c r="J33" i="6"/>
  <c r="J34" i="6"/>
  <c r="J35" i="6"/>
  <c r="J40" i="6"/>
  <c r="J41" i="6"/>
  <c r="J42" i="6"/>
  <c r="J43" i="6"/>
  <c r="J44" i="6"/>
  <c r="J45" i="6"/>
  <c r="J46" i="6"/>
  <c r="J47" i="6"/>
  <c r="J48" i="6"/>
  <c r="J49" i="6"/>
  <c r="J50" i="6"/>
  <c r="J51" i="6"/>
  <c r="J52" i="6"/>
  <c r="J53" i="6"/>
  <c r="J54" i="6"/>
  <c r="J55" i="6"/>
  <c r="J56" i="6"/>
  <c r="J57" i="6"/>
  <c r="J58" i="6"/>
  <c r="J59" i="6"/>
  <c r="J60" i="6"/>
  <c r="J61" i="6"/>
  <c r="J62" i="6"/>
  <c r="J63" i="6"/>
  <c r="J64" i="6"/>
  <c r="J65" i="6"/>
  <c r="J66" i="6"/>
  <c r="J67" i="6"/>
  <c r="J68" i="6"/>
  <c r="J69" i="6"/>
  <c r="J70" i="6"/>
  <c r="K17" i="6"/>
  <c r="K18" i="6"/>
  <c r="K19" i="6"/>
  <c r="K20" i="6"/>
  <c r="K21" i="6"/>
  <c r="K22" i="6"/>
  <c r="K23" i="6"/>
  <c r="K24" i="6"/>
  <c r="K25" i="6"/>
  <c r="K26" i="6"/>
  <c r="K27" i="6"/>
  <c r="K28" i="6"/>
  <c r="K29" i="6"/>
  <c r="K30" i="6"/>
  <c r="K31" i="6"/>
  <c r="K32" i="6"/>
  <c r="K33" i="6"/>
  <c r="K34" i="6"/>
  <c r="K35" i="6"/>
  <c r="K40" i="6"/>
  <c r="K41" i="6"/>
  <c r="K42" i="6"/>
  <c r="K43" i="6"/>
  <c r="K44" i="6"/>
  <c r="K45" i="6"/>
  <c r="K46" i="6"/>
  <c r="K47" i="6"/>
  <c r="K48" i="6"/>
  <c r="K49" i="6"/>
  <c r="K50" i="6"/>
  <c r="K51" i="6"/>
  <c r="K52" i="6"/>
  <c r="K53" i="6"/>
  <c r="K54" i="6"/>
  <c r="K55" i="6"/>
  <c r="K56" i="6"/>
  <c r="K57" i="6"/>
  <c r="K58" i="6"/>
  <c r="K59" i="6"/>
  <c r="K60" i="6"/>
  <c r="K61" i="6"/>
  <c r="K62" i="6"/>
  <c r="K63" i="6"/>
  <c r="K64" i="6"/>
  <c r="K65" i="6"/>
  <c r="K66" i="6"/>
  <c r="K67" i="6"/>
  <c r="K68" i="6"/>
  <c r="K69" i="6"/>
  <c r="K70" i="6"/>
  <c r="K16" i="6"/>
  <c r="E78" i="4"/>
  <c r="E77" i="4"/>
  <c r="E76" i="4"/>
  <c r="E75" i="4"/>
  <c r="E74" i="4"/>
  <c r="E73" i="4"/>
  <c r="E72" i="4"/>
  <c r="E71" i="4"/>
  <c r="E70" i="4"/>
  <c r="E69" i="4"/>
  <c r="E68" i="4"/>
  <c r="E67" i="4"/>
  <c r="E66" i="4"/>
  <c r="E65" i="4"/>
  <c r="E64" i="4"/>
  <c r="E63" i="4"/>
  <c r="E62" i="4"/>
  <c r="E61" i="4"/>
  <c r="B5" i="1"/>
  <c r="D13" i="10"/>
  <c r="D14" i="10"/>
  <c r="D15" i="10"/>
  <c r="D16" i="10"/>
  <c r="D17" i="10"/>
  <c r="D18" i="10"/>
  <c r="D19" i="10"/>
  <c r="D20" i="10"/>
  <c r="D21" i="10"/>
  <c r="D22" i="10"/>
  <c r="D23" i="10"/>
  <c r="D24" i="10"/>
  <c r="D25" i="10"/>
  <c r="D26" i="10"/>
  <c r="D27" i="10"/>
  <c r="D28" i="10"/>
  <c r="D29" i="10"/>
  <c r="D30" i="10"/>
  <c r="D31" i="10"/>
  <c r="D12" i="10"/>
  <c r="BO48" i="2" l="1"/>
  <c r="BP48" i="2"/>
  <c r="BQ48" i="2"/>
  <c r="BR48" i="2"/>
  <c r="BO47" i="2"/>
  <c r="BP47" i="2"/>
  <c r="BQ47" i="2"/>
  <c r="BR47" i="2"/>
  <c r="B47" i="2"/>
  <c r="B19" i="2" l="1"/>
  <c r="B70" i="4" l="1"/>
  <c r="B61" i="4"/>
  <c r="BR15" i="2" l="1"/>
  <c r="BQ15" i="2"/>
  <c r="BP15" i="2"/>
  <c r="BO15" i="2"/>
  <c r="B15" i="2"/>
  <c r="C16" i="8" l="1"/>
  <c r="C17" i="8"/>
  <c r="C18" i="8"/>
  <c r="C19" i="8"/>
  <c r="C20" i="8"/>
  <c r="C21" i="8"/>
  <c r="C22" i="8"/>
  <c r="C23" i="8"/>
  <c r="C24" i="8"/>
  <c r="C25" i="8"/>
  <c r="C26" i="8"/>
  <c r="C27" i="8"/>
  <c r="C28" i="8"/>
  <c r="C29" i="8"/>
  <c r="C30" i="8"/>
  <c r="C31" i="8"/>
  <c r="C32" i="8"/>
  <c r="C33" i="8"/>
  <c r="C34" i="8"/>
  <c r="C35" i="8"/>
  <c r="C36" i="8"/>
  <c r="C37" i="8"/>
  <c r="C38" i="8"/>
  <c r="C39" i="8"/>
  <c r="C40" i="8"/>
  <c r="C15" i="8"/>
  <c r="C15" i="7" l="1"/>
  <c r="F2" i="1" s="1"/>
  <c r="C18" i="7"/>
  <c r="F2" i="13" l="1"/>
  <c r="F2" i="12"/>
  <c r="BO19" i="2"/>
  <c r="BP19" i="2"/>
  <c r="BQ19" i="2"/>
  <c r="BR19" i="2"/>
  <c r="BO20" i="2"/>
  <c r="BP20" i="2"/>
  <c r="BQ20" i="2"/>
  <c r="BR20" i="2"/>
  <c r="BO21" i="2"/>
  <c r="BP21" i="2"/>
  <c r="BQ21" i="2"/>
  <c r="BR21" i="2"/>
  <c r="BO22" i="2"/>
  <c r="BP22" i="2"/>
  <c r="BQ22" i="2"/>
  <c r="BR22" i="2"/>
  <c r="BO23" i="2"/>
  <c r="BP23" i="2"/>
  <c r="BQ23" i="2"/>
  <c r="BR23" i="2"/>
  <c r="BO24" i="2"/>
  <c r="BP24" i="2"/>
  <c r="BQ24" i="2"/>
  <c r="BR24" i="2"/>
  <c r="BO25" i="2"/>
  <c r="BP25" i="2"/>
  <c r="BQ25" i="2"/>
  <c r="BR25" i="2"/>
  <c r="BO26" i="2"/>
  <c r="BP26" i="2"/>
  <c r="BQ26" i="2"/>
  <c r="BR26" i="2"/>
  <c r="BO27" i="2"/>
  <c r="BP27" i="2"/>
  <c r="BQ27" i="2"/>
  <c r="BR27" i="2"/>
  <c r="B27" i="2" l="1"/>
  <c r="B26" i="2"/>
  <c r="B25" i="2"/>
  <c r="B24" i="2"/>
  <c r="B23" i="2"/>
  <c r="B22" i="2"/>
  <c r="B21" i="2"/>
  <c r="B20" i="2"/>
  <c r="BR46" i="2"/>
  <c r="BQ46" i="2"/>
  <c r="BP46" i="2"/>
  <c r="BO46" i="2"/>
  <c r="B46" i="2"/>
  <c r="BR45" i="2"/>
  <c r="BQ45" i="2"/>
  <c r="BP45" i="2"/>
  <c r="BO45" i="2"/>
  <c r="B45" i="2"/>
  <c r="BR44" i="2"/>
  <c r="BQ44" i="2"/>
  <c r="BP44" i="2"/>
  <c r="BO44" i="2"/>
  <c r="B44" i="2"/>
  <c r="BR43" i="2"/>
  <c r="BQ43" i="2"/>
  <c r="BP43" i="2"/>
  <c r="BO43" i="2"/>
  <c r="B43" i="2"/>
  <c r="BR42" i="2"/>
  <c r="BQ42" i="2"/>
  <c r="BP42" i="2"/>
  <c r="BO42" i="2"/>
  <c r="B42" i="2"/>
  <c r="BR49" i="2"/>
  <c r="BQ49" i="2"/>
  <c r="BP49" i="2"/>
  <c r="BO49" i="2"/>
  <c r="B49" i="2"/>
  <c r="BR36" i="2"/>
  <c r="BQ36" i="2"/>
  <c r="BP36" i="2"/>
  <c r="BO36" i="2"/>
  <c r="BR35" i="2"/>
  <c r="BQ35" i="2"/>
  <c r="BP35" i="2"/>
  <c r="BO35" i="2"/>
  <c r="B35" i="2"/>
  <c r="BR34" i="2"/>
  <c r="BQ34" i="2"/>
  <c r="BP34" i="2"/>
  <c r="BO34" i="2"/>
  <c r="B34" i="2"/>
  <c r="BR33" i="2"/>
  <c r="BQ33" i="2"/>
  <c r="BP33" i="2"/>
  <c r="BO33" i="2"/>
  <c r="B33" i="2"/>
  <c r="BR28" i="2"/>
  <c r="BQ28" i="2"/>
  <c r="BP28" i="2"/>
  <c r="BO28" i="2"/>
  <c r="B28" i="2"/>
  <c r="BR32" i="2"/>
  <c r="BQ32" i="2"/>
  <c r="BP32" i="2"/>
  <c r="BO32" i="2"/>
  <c r="B32" i="2"/>
  <c r="BR30" i="2"/>
  <c r="BQ30" i="2"/>
  <c r="BP30" i="2"/>
  <c r="BO30" i="2"/>
  <c r="B30" i="2"/>
  <c r="BR31" i="2"/>
  <c r="BQ31" i="2"/>
  <c r="BP31" i="2"/>
  <c r="BO31" i="2"/>
  <c r="B31" i="2"/>
  <c r="BR29" i="2"/>
  <c r="BQ29" i="2"/>
  <c r="BP29" i="2"/>
  <c r="BO29" i="2"/>
  <c r="B29" i="2"/>
  <c r="BR12" i="2"/>
  <c r="BQ12" i="2"/>
  <c r="BP12" i="2"/>
  <c r="BO12" i="2"/>
  <c r="B12" i="2"/>
  <c r="BR17" i="2"/>
  <c r="BQ17" i="2"/>
  <c r="BP17" i="2"/>
  <c r="BO17" i="2"/>
  <c r="B17" i="2"/>
  <c r="BR16" i="2"/>
  <c r="BQ16" i="2"/>
  <c r="BP16" i="2"/>
  <c r="BO16" i="2"/>
  <c r="B16" i="2"/>
  <c r="BR18" i="2"/>
  <c r="BQ18" i="2"/>
  <c r="BP18" i="2"/>
  <c r="BO18" i="2"/>
  <c r="B18" i="2"/>
  <c r="BR14" i="2"/>
  <c r="BQ14" i="2"/>
  <c r="BP14" i="2"/>
  <c r="BO14" i="2"/>
  <c r="B14" i="2"/>
  <c r="BR13" i="2"/>
  <c r="BQ13" i="2"/>
  <c r="BP13" i="2"/>
  <c r="BO13" i="2"/>
  <c r="B13" i="2"/>
  <c r="BR11" i="2"/>
  <c r="BQ11" i="2"/>
  <c r="BP11" i="2"/>
  <c r="BO11" i="2"/>
  <c r="B11" i="2"/>
  <c r="BR10" i="2"/>
  <c r="BQ10" i="2"/>
  <c r="BP10" i="2"/>
  <c r="BO10" i="2"/>
  <c r="B10" i="2"/>
  <c r="BR9" i="2"/>
  <c r="BQ9" i="2"/>
  <c r="BP9" i="2"/>
  <c r="BO9" i="2"/>
  <c r="B9" i="2"/>
  <c r="BR8" i="2"/>
  <c r="BQ8" i="2"/>
  <c r="BP8" i="2"/>
  <c r="BO8" i="2"/>
  <c r="B8" i="2"/>
  <c r="BR7" i="2"/>
  <c r="BQ7" i="2"/>
  <c r="BP7" i="2"/>
  <c r="BO7" i="2"/>
  <c r="B7" i="2"/>
  <c r="BR6" i="2"/>
  <c r="BQ6" i="2"/>
  <c r="BP6" i="2"/>
  <c r="BO6" i="2"/>
  <c r="B6" i="2"/>
  <c r="BR5" i="2"/>
  <c r="BQ5" i="2"/>
  <c r="BP5" i="2"/>
  <c r="BO5" i="2"/>
  <c r="B5" i="2"/>
  <c r="BR4" i="2"/>
  <c r="BQ4" i="2"/>
  <c r="BP4" i="2"/>
  <c r="BO4" i="2"/>
  <c r="B4" i="2"/>
  <c r="BR3" i="2"/>
  <c r="BQ3" i="2"/>
  <c r="BP3" i="2"/>
  <c r="BO3" i="2"/>
  <c r="B3" i="2"/>
  <c r="B78" i="4"/>
  <c r="B77" i="4"/>
  <c r="B76" i="4"/>
  <c r="B75" i="4"/>
  <c r="B74" i="4"/>
  <c r="B73" i="4"/>
  <c r="B72" i="4"/>
  <c r="B71" i="4"/>
  <c r="B69" i="4"/>
  <c r="B68" i="4"/>
  <c r="B67" i="4"/>
  <c r="B66" i="4"/>
  <c r="B65" i="4"/>
  <c r="B64" i="4"/>
  <c r="B63" i="4"/>
  <c r="B62" i="4"/>
  <c r="Y16" i="4"/>
  <c r="AF15" i="4"/>
  <c r="AA15" i="4"/>
  <c r="AF14" i="4"/>
  <c r="AA14" i="4"/>
  <c r="AF13" i="4"/>
  <c r="AA13" i="4"/>
  <c r="AF12" i="4"/>
  <c r="AA12" i="4"/>
  <c r="AF11" i="4"/>
  <c r="AA11" i="4"/>
  <c r="AH10" i="4"/>
  <c r="AH9" i="4"/>
  <c r="AA9" i="4"/>
  <c r="AH8" i="4"/>
  <c r="AH7" i="4"/>
  <c r="AH6" i="4"/>
  <c r="AA6" i="4"/>
  <c r="AH5" i="4"/>
  <c r="AH4" i="4"/>
  <c r="J16" i="6"/>
  <c r="V6" i="1"/>
  <c r="U6" i="1"/>
  <c r="T6" i="1"/>
  <c r="S6" i="1"/>
  <c r="C6" i="1"/>
  <c r="U5" i="1"/>
  <c r="S5" i="1"/>
  <c r="AN5" i="4" l="1"/>
  <c r="AN9" i="4"/>
  <c r="AN13" i="4"/>
  <c r="AN17" i="4"/>
  <c r="AN21" i="4"/>
  <c r="AN25" i="4"/>
  <c r="AN29" i="4"/>
  <c r="AN33" i="4"/>
  <c r="AN37" i="4"/>
  <c r="AN41" i="4"/>
  <c r="AN45" i="4"/>
  <c r="AN49" i="4"/>
  <c r="AN53" i="4"/>
  <c r="AN57" i="4"/>
  <c r="AN61" i="4"/>
  <c r="AN65" i="4"/>
  <c r="AN69" i="4"/>
  <c r="AN73" i="4"/>
  <c r="AN77" i="4"/>
  <c r="AN81" i="4"/>
  <c r="AN85" i="4"/>
  <c r="AN89" i="4"/>
  <c r="AN93" i="4"/>
  <c r="AN97" i="4"/>
  <c r="AN101" i="4"/>
  <c r="AN105" i="4"/>
  <c r="AN109" i="4"/>
  <c r="AN113" i="4"/>
  <c r="AN117" i="4"/>
  <c r="AN121" i="4"/>
  <c r="AN125" i="4"/>
  <c r="AN129" i="4"/>
  <c r="AN133" i="4"/>
  <c r="AN137" i="4"/>
  <c r="AN141" i="4"/>
  <c r="AN145" i="4"/>
  <c r="AN149" i="4"/>
  <c r="AN153" i="4"/>
  <c r="AN157" i="4"/>
  <c r="AN161" i="4"/>
  <c r="AN165" i="4"/>
  <c r="AN169" i="4"/>
  <c r="AN173" i="4"/>
  <c r="AN177" i="4"/>
  <c r="AN181" i="4"/>
  <c r="AN185" i="4"/>
  <c r="AN189" i="4"/>
  <c r="AN193" i="4"/>
  <c r="AN197" i="4"/>
  <c r="AN201" i="4"/>
  <c r="AN205" i="4"/>
  <c r="AN209" i="4"/>
  <c r="AN213" i="4"/>
  <c r="AN217" i="4"/>
  <c r="AN221" i="4"/>
  <c r="AN225" i="4"/>
  <c r="AN229" i="4"/>
  <c r="AN233" i="4"/>
  <c r="AN237" i="4"/>
  <c r="AN241" i="4"/>
  <c r="AN245" i="4"/>
  <c r="AN249" i="4"/>
  <c r="AN253" i="4"/>
  <c r="AN257" i="4"/>
  <c r="AN261" i="4"/>
  <c r="AN265" i="4"/>
  <c r="AN269" i="4"/>
  <c r="AN273" i="4"/>
  <c r="AN277" i="4"/>
  <c r="AN281" i="4"/>
  <c r="AN285" i="4"/>
  <c r="AN14" i="4"/>
  <c r="AN22" i="4"/>
  <c r="AN30" i="4"/>
  <c r="AN42" i="4"/>
  <c r="AN46" i="4"/>
  <c r="AN54" i="4"/>
  <c r="AN66" i="4"/>
  <c r="AN70" i="4"/>
  <c r="AN78" i="4"/>
  <c r="AN86" i="4"/>
  <c r="AN94" i="4"/>
  <c r="AN102" i="4"/>
  <c r="AN110" i="4"/>
  <c r="AN118" i="4"/>
  <c r="AN6" i="4"/>
  <c r="AN8" i="4"/>
  <c r="AN12" i="4"/>
  <c r="AN16" i="4"/>
  <c r="AN20" i="4"/>
  <c r="AN24" i="4"/>
  <c r="AN28" i="4"/>
  <c r="AN32" i="4"/>
  <c r="AN36" i="4"/>
  <c r="AN40" i="4"/>
  <c r="AN44" i="4"/>
  <c r="AN48" i="4"/>
  <c r="AN52" i="4"/>
  <c r="AN56" i="4"/>
  <c r="AN60" i="4"/>
  <c r="AN64" i="4"/>
  <c r="AN68" i="4"/>
  <c r="AN72" i="4"/>
  <c r="AN76" i="4"/>
  <c r="AN80" i="4"/>
  <c r="AN84" i="4"/>
  <c r="AN88" i="4"/>
  <c r="AN92" i="4"/>
  <c r="AN96" i="4"/>
  <c r="AN100" i="4"/>
  <c r="AN104" i="4"/>
  <c r="AN108" i="4"/>
  <c r="AN112" i="4"/>
  <c r="AN116" i="4"/>
  <c r="AN120" i="4"/>
  <c r="AN124" i="4"/>
  <c r="AN128" i="4"/>
  <c r="AN132" i="4"/>
  <c r="AN136" i="4"/>
  <c r="AN140" i="4"/>
  <c r="AN144" i="4"/>
  <c r="AN148" i="4"/>
  <c r="AN152" i="4"/>
  <c r="AN156" i="4"/>
  <c r="AN160" i="4"/>
  <c r="AN164" i="4"/>
  <c r="AN168" i="4"/>
  <c r="AN172" i="4"/>
  <c r="AN176" i="4"/>
  <c r="AN180" i="4"/>
  <c r="AN184" i="4"/>
  <c r="AN188" i="4"/>
  <c r="AN192" i="4"/>
  <c r="AN196" i="4"/>
  <c r="AN200" i="4"/>
  <c r="AN204" i="4"/>
  <c r="AN208" i="4"/>
  <c r="AN212" i="4"/>
  <c r="AN216" i="4"/>
  <c r="AN220" i="4"/>
  <c r="AN224" i="4"/>
  <c r="AN228" i="4"/>
  <c r="AN232" i="4"/>
  <c r="AN236" i="4"/>
  <c r="AN240" i="4"/>
  <c r="AN244" i="4"/>
  <c r="AN248" i="4"/>
  <c r="AN252" i="4"/>
  <c r="AN256" i="4"/>
  <c r="AN260" i="4"/>
  <c r="AN264" i="4"/>
  <c r="AN268" i="4"/>
  <c r="AN272" i="4"/>
  <c r="AN276" i="4"/>
  <c r="AN280" i="4"/>
  <c r="AN284" i="4"/>
  <c r="AN10" i="4"/>
  <c r="AN18" i="4"/>
  <c r="AN26" i="4"/>
  <c r="AN34" i="4"/>
  <c r="AN38" i="4"/>
  <c r="AN50" i="4"/>
  <c r="AN58" i="4"/>
  <c r="AN62" i="4"/>
  <c r="AN74" i="4"/>
  <c r="AN82" i="4"/>
  <c r="AN90" i="4"/>
  <c r="AN98" i="4"/>
  <c r="AN106" i="4"/>
  <c r="AN114" i="4"/>
  <c r="AN122" i="4"/>
  <c r="AN7" i="4"/>
  <c r="AN23" i="4"/>
  <c r="AN39" i="4"/>
  <c r="AN55" i="4"/>
  <c r="AN71" i="4"/>
  <c r="AN87" i="4"/>
  <c r="AN103" i="4"/>
  <c r="AN119" i="4"/>
  <c r="AN130" i="4"/>
  <c r="AN138" i="4"/>
  <c r="AN146" i="4"/>
  <c r="AN154" i="4"/>
  <c r="AN162" i="4"/>
  <c r="AN170" i="4"/>
  <c r="AN178" i="4"/>
  <c r="AN186" i="4"/>
  <c r="AN194" i="4"/>
  <c r="AN202" i="4"/>
  <c r="AN210" i="4"/>
  <c r="AN218" i="4"/>
  <c r="AN226" i="4"/>
  <c r="AN234" i="4"/>
  <c r="AN242" i="4"/>
  <c r="AN250" i="4"/>
  <c r="AN258" i="4"/>
  <c r="AN266" i="4"/>
  <c r="AN274" i="4"/>
  <c r="AN282" i="4"/>
  <c r="AN27" i="4"/>
  <c r="AN139" i="4"/>
  <c r="AN155" i="4"/>
  <c r="AN171" i="4"/>
  <c r="AN187" i="4"/>
  <c r="AN203" i="4"/>
  <c r="AN219" i="4"/>
  <c r="AN235" i="4"/>
  <c r="AN251" i="4"/>
  <c r="AN267" i="4"/>
  <c r="AN283" i="4"/>
  <c r="AN31" i="4"/>
  <c r="AN63" i="4"/>
  <c r="AN95" i="4"/>
  <c r="AN126" i="4"/>
  <c r="AN142" i="4"/>
  <c r="AN158" i="4"/>
  <c r="AN174" i="4"/>
  <c r="AN190" i="4"/>
  <c r="AN206" i="4"/>
  <c r="AN222" i="4"/>
  <c r="AN238" i="4"/>
  <c r="AN262" i="4"/>
  <c r="AN278" i="4"/>
  <c r="AN19" i="4"/>
  <c r="AN51" i="4"/>
  <c r="AN83" i="4"/>
  <c r="AN115" i="4"/>
  <c r="AN143" i="4"/>
  <c r="AN159" i="4"/>
  <c r="AN175" i="4"/>
  <c r="AN191" i="4"/>
  <c r="AN215" i="4"/>
  <c r="AN231" i="4"/>
  <c r="AN247" i="4"/>
  <c r="AN263" i="4"/>
  <c r="AN4" i="4"/>
  <c r="AN11" i="4"/>
  <c r="AN43" i="4"/>
  <c r="AN59" i="4"/>
  <c r="AN75" i="4"/>
  <c r="AN91" i="4"/>
  <c r="AN107" i="4"/>
  <c r="AN123" i="4"/>
  <c r="AN131" i="4"/>
  <c r="AN147" i="4"/>
  <c r="AN163" i="4"/>
  <c r="AN179" i="4"/>
  <c r="AN195" i="4"/>
  <c r="AN211" i="4"/>
  <c r="AN227" i="4"/>
  <c r="AN243" i="4"/>
  <c r="AN259" i="4"/>
  <c r="AN275" i="4"/>
  <c r="AN15" i="4"/>
  <c r="AN47" i="4"/>
  <c r="AN79" i="4"/>
  <c r="AN111" i="4"/>
  <c r="AN134" i="4"/>
  <c r="AN150" i="4"/>
  <c r="AN166" i="4"/>
  <c r="AN182" i="4"/>
  <c r="AN198" i="4"/>
  <c r="AN214" i="4"/>
  <c r="AN230" i="4"/>
  <c r="AN246" i="4"/>
  <c r="AN254" i="4"/>
  <c r="AN270" i="4"/>
  <c r="AN286" i="4"/>
  <c r="AN35" i="4"/>
  <c r="AN67" i="4"/>
  <c r="AN99" i="4"/>
  <c r="AN127" i="4"/>
  <c r="AN135" i="4"/>
  <c r="AN151" i="4"/>
  <c r="AN167" i="4"/>
  <c r="AN183" i="4"/>
  <c r="AN199" i="4"/>
  <c r="AN207" i="4"/>
  <c r="AN223" i="4"/>
  <c r="AN239" i="4"/>
  <c r="AN255" i="4"/>
  <c r="AN271" i="4"/>
  <c r="AN279" i="4"/>
  <c r="Y13" i="4"/>
  <c r="Y11" i="4"/>
  <c r="AH12" i="4"/>
  <c r="AH14" i="4"/>
  <c r="Y15" i="4"/>
  <c r="AA16" i="4"/>
  <c r="Y9" i="4"/>
  <c r="AF9" i="4"/>
  <c r="AF4" i="4"/>
  <c r="Y6" i="4"/>
  <c r="AF6" i="4"/>
  <c r="AF10" i="4"/>
  <c r="AF5" i="4"/>
  <c r="AF7" i="4"/>
  <c r="AF8" i="4"/>
  <c r="AH11" i="4"/>
  <c r="Y12" i="4"/>
  <c r="AH13" i="4"/>
  <c r="Y14" i="4"/>
  <c r="AH15" i="4"/>
  <c r="AF16" i="4"/>
  <c r="AH16" i="4"/>
  <c r="AA8" i="4"/>
  <c r="Y8" i="4"/>
  <c r="AA4" i="4"/>
  <c r="Y4" i="4"/>
  <c r="AA5" i="4"/>
  <c r="Y5" i="4"/>
  <c r="AA7" i="4"/>
  <c r="Y7" i="4"/>
  <c r="AA10" i="4"/>
  <c r="Y10" i="4"/>
  <c r="B169" i="13" l="1"/>
  <c r="B165" i="13"/>
  <c r="B161" i="13"/>
  <c r="B157" i="13"/>
  <c r="B153" i="13"/>
  <c r="B149" i="13"/>
  <c r="B145" i="13"/>
  <c r="B170" i="13"/>
  <c r="B166" i="13"/>
  <c r="B162" i="13"/>
  <c r="B171" i="13"/>
  <c r="B163" i="13"/>
  <c r="B152" i="13"/>
  <c r="B151" i="13"/>
  <c r="B150" i="13"/>
  <c r="B138" i="13"/>
  <c r="B134" i="13"/>
  <c r="B130" i="13"/>
  <c r="B168" i="13"/>
  <c r="B160" i="13"/>
  <c r="B148" i="13"/>
  <c r="B147" i="13"/>
  <c r="B146" i="13"/>
  <c r="B139" i="13"/>
  <c r="B135" i="13"/>
  <c r="B131" i="13"/>
  <c r="B167" i="13"/>
  <c r="B144" i="13"/>
  <c r="B143" i="13"/>
  <c r="B142" i="13"/>
  <c r="B136" i="13"/>
  <c r="B126" i="13"/>
  <c r="B122" i="13"/>
  <c r="B118" i="13"/>
  <c r="B114" i="13"/>
  <c r="B110" i="13"/>
  <c r="B106" i="13"/>
  <c r="B102" i="13"/>
  <c r="B98" i="13"/>
  <c r="B94" i="13"/>
  <c r="B90" i="13"/>
  <c r="B164" i="13"/>
  <c r="B141" i="13"/>
  <c r="B133" i="13"/>
  <c r="B127" i="13"/>
  <c r="B123" i="13"/>
  <c r="B119" i="13"/>
  <c r="B115" i="13"/>
  <c r="B111" i="13"/>
  <c r="B107" i="13"/>
  <c r="B103" i="13"/>
  <c r="B101" i="13"/>
  <c r="B97" i="13"/>
  <c r="B93" i="13"/>
  <c r="B159" i="13"/>
  <c r="B140" i="13"/>
  <c r="B129" i="13"/>
  <c r="B128" i="13"/>
  <c r="B120" i="13"/>
  <c r="B112" i="13"/>
  <c r="B104" i="13"/>
  <c r="B100" i="13"/>
  <c r="B92" i="13"/>
  <c r="B86" i="13"/>
  <c r="B82" i="13"/>
  <c r="B78" i="13"/>
  <c r="B74" i="13"/>
  <c r="B70" i="13"/>
  <c r="B155" i="13"/>
  <c r="B137" i="13"/>
  <c r="B125" i="13"/>
  <c r="B117" i="13"/>
  <c r="B109" i="13"/>
  <c r="B99" i="13"/>
  <c r="B91" i="13"/>
  <c r="B89" i="13"/>
  <c r="B85" i="13"/>
  <c r="B81" i="13"/>
  <c r="B77" i="13"/>
  <c r="B73" i="13"/>
  <c r="B158" i="13"/>
  <c r="B124" i="13"/>
  <c r="B108" i="13"/>
  <c r="B88" i="13"/>
  <c r="B80" i="13"/>
  <c r="B72" i="13"/>
  <c r="B69" i="13"/>
  <c r="B65" i="13"/>
  <c r="B154" i="13"/>
  <c r="B121" i="13"/>
  <c r="B105" i="13"/>
  <c r="B87" i="13"/>
  <c r="B79" i="13"/>
  <c r="B71" i="13"/>
  <c r="B68" i="13"/>
  <c r="B64" i="13"/>
  <c r="B61" i="13"/>
  <c r="H61" i="13" s="1"/>
  <c r="B59" i="13"/>
  <c r="H59" i="13" s="1"/>
  <c r="B57" i="13"/>
  <c r="H57" i="13" s="1"/>
  <c r="B55" i="13"/>
  <c r="H55" i="13" s="1"/>
  <c r="B53" i="13"/>
  <c r="H53" i="13" s="1"/>
  <c r="B51" i="13"/>
  <c r="H51" i="13" s="1"/>
  <c r="B49" i="13"/>
  <c r="H49" i="13" s="1"/>
  <c r="B47" i="13"/>
  <c r="H47" i="13" s="1"/>
  <c r="B45" i="13"/>
  <c r="H45" i="13" s="1"/>
  <c r="B43" i="13"/>
  <c r="H43" i="13" s="1"/>
  <c r="B41" i="13"/>
  <c r="H41" i="13" s="1"/>
  <c r="B39" i="13"/>
  <c r="H39" i="13" s="1"/>
  <c r="B37" i="13"/>
  <c r="H37" i="13" s="1"/>
  <c r="B35" i="13"/>
  <c r="H35" i="13" s="1"/>
  <c r="B33" i="13"/>
  <c r="B31" i="13"/>
  <c r="B29" i="13"/>
  <c r="B27" i="13"/>
  <c r="B25" i="13"/>
  <c r="B23" i="13"/>
  <c r="B21" i="13"/>
  <c r="B19" i="13"/>
  <c r="B17" i="13"/>
  <c r="B15" i="13"/>
  <c r="B13" i="13"/>
  <c r="B84" i="13"/>
  <c r="B67" i="13"/>
  <c r="B56" i="13"/>
  <c r="H56" i="13" s="1"/>
  <c r="B48" i="13"/>
  <c r="H48" i="13" s="1"/>
  <c r="B40" i="13"/>
  <c r="H40" i="13" s="1"/>
  <c r="B32" i="13"/>
  <c r="B24" i="13"/>
  <c r="B16" i="13"/>
  <c r="B11" i="13"/>
  <c r="B9" i="13"/>
  <c r="B7" i="13"/>
  <c r="B132" i="13"/>
  <c r="B96" i="13"/>
  <c r="B52" i="13"/>
  <c r="H52" i="13" s="1"/>
  <c r="B44" i="13"/>
  <c r="H44" i="13" s="1"/>
  <c r="B36" i="13"/>
  <c r="H36" i="13" s="1"/>
  <c r="B28" i="13"/>
  <c r="B20" i="13"/>
  <c r="B10" i="13"/>
  <c r="B8" i="13"/>
  <c r="B62" i="13"/>
  <c r="H62" i="13" s="1"/>
  <c r="B156" i="13"/>
  <c r="B95" i="13"/>
  <c r="B83" i="13"/>
  <c r="B66" i="13"/>
  <c r="B58" i="13"/>
  <c r="H58" i="13" s="1"/>
  <c r="B50" i="13"/>
  <c r="H50" i="13" s="1"/>
  <c r="B42" i="13"/>
  <c r="H42" i="13" s="1"/>
  <c r="B34" i="13"/>
  <c r="B26" i="13"/>
  <c r="B18" i="13"/>
  <c r="B116" i="13"/>
  <c r="B76" i="13"/>
  <c r="B63" i="13"/>
  <c r="B60" i="13"/>
  <c r="H60" i="13" s="1"/>
  <c r="B12" i="13"/>
  <c r="B113" i="13"/>
  <c r="B75" i="13"/>
  <c r="B54" i="13"/>
  <c r="H54" i="13" s="1"/>
  <c r="B22" i="13"/>
  <c r="B38" i="13"/>
  <c r="H38" i="13" s="1"/>
  <c r="B46" i="13"/>
  <c r="H46" i="13" s="1"/>
  <c r="B14" i="13"/>
  <c r="B30" i="13"/>
  <c r="B169" i="12"/>
  <c r="B165" i="12"/>
  <c r="B161" i="12"/>
  <c r="B157" i="12"/>
  <c r="B153" i="12"/>
  <c r="B149" i="12"/>
  <c r="B145" i="12"/>
  <c r="B170" i="12"/>
  <c r="B166" i="12"/>
  <c r="B162" i="12"/>
  <c r="B158" i="12"/>
  <c r="B154" i="12"/>
  <c r="B150" i="12"/>
  <c r="B171" i="12"/>
  <c r="B167" i="12"/>
  <c r="B163" i="12"/>
  <c r="B159" i="12"/>
  <c r="B155" i="12"/>
  <c r="B151" i="12"/>
  <c r="B147" i="12"/>
  <c r="B143" i="12"/>
  <c r="B160" i="12"/>
  <c r="B141" i="12"/>
  <c r="B137" i="12"/>
  <c r="B133" i="12"/>
  <c r="B129" i="12"/>
  <c r="B125" i="12"/>
  <c r="B121" i="12"/>
  <c r="B164" i="12"/>
  <c r="B148" i="12"/>
  <c r="B142" i="12"/>
  <c r="B138" i="12"/>
  <c r="B134" i="12"/>
  <c r="B130" i="12"/>
  <c r="B126" i="12"/>
  <c r="B168" i="12"/>
  <c r="B152" i="12"/>
  <c r="B144" i="12"/>
  <c r="B139" i="12"/>
  <c r="B135" i="12"/>
  <c r="B131" i="12"/>
  <c r="B127" i="12"/>
  <c r="B123" i="12"/>
  <c r="B140" i="12"/>
  <c r="B124" i="12"/>
  <c r="B116" i="12"/>
  <c r="B112" i="12"/>
  <c r="B108" i="12"/>
  <c r="B104" i="12"/>
  <c r="B100" i="12"/>
  <c r="I100" i="12" s="1"/>
  <c r="B128" i="12"/>
  <c r="B117" i="12"/>
  <c r="B113" i="12"/>
  <c r="B109" i="12"/>
  <c r="B105" i="12"/>
  <c r="B156" i="12"/>
  <c r="B146" i="12"/>
  <c r="B132" i="12"/>
  <c r="B120" i="12"/>
  <c r="B118" i="12"/>
  <c r="B114" i="12"/>
  <c r="B110" i="12"/>
  <c r="B106" i="12"/>
  <c r="B102" i="12"/>
  <c r="B111" i="12"/>
  <c r="B98" i="12"/>
  <c r="I98" i="12" s="1"/>
  <c r="B94" i="12"/>
  <c r="I94" i="12" s="1"/>
  <c r="B90" i="12"/>
  <c r="I90" i="12" s="1"/>
  <c r="B86" i="12"/>
  <c r="I86" i="12" s="1"/>
  <c r="B82" i="12"/>
  <c r="I82" i="12" s="1"/>
  <c r="B78" i="12"/>
  <c r="I78" i="12" s="1"/>
  <c r="B74" i="12"/>
  <c r="I74" i="12" s="1"/>
  <c r="B70" i="12"/>
  <c r="I70" i="12" s="1"/>
  <c r="B66" i="12"/>
  <c r="I66" i="12" s="1"/>
  <c r="B136" i="12"/>
  <c r="B122" i="12"/>
  <c r="B115" i="12"/>
  <c r="B101" i="12"/>
  <c r="I101" i="12" s="1"/>
  <c r="B97" i="12"/>
  <c r="I97" i="12" s="1"/>
  <c r="B93" i="12"/>
  <c r="I93" i="12" s="1"/>
  <c r="B89" i="12"/>
  <c r="I89" i="12" s="1"/>
  <c r="B85" i="12"/>
  <c r="I85" i="12" s="1"/>
  <c r="B81" i="12"/>
  <c r="I81" i="12" s="1"/>
  <c r="B77" i="12"/>
  <c r="I77" i="12" s="1"/>
  <c r="B73" i="12"/>
  <c r="I73" i="12" s="1"/>
  <c r="B119" i="12"/>
  <c r="B103" i="12"/>
  <c r="B96" i="12"/>
  <c r="I96" i="12" s="1"/>
  <c r="B92" i="12"/>
  <c r="I92" i="12" s="1"/>
  <c r="B88" i="12"/>
  <c r="I88" i="12" s="1"/>
  <c r="B84" i="12"/>
  <c r="I84" i="12" s="1"/>
  <c r="B80" i="12"/>
  <c r="I80" i="12" s="1"/>
  <c r="B76" i="12"/>
  <c r="I76" i="12" s="1"/>
  <c r="B72" i="12"/>
  <c r="I72" i="12" s="1"/>
  <c r="B68" i="12"/>
  <c r="I68" i="12" s="1"/>
  <c r="B64" i="12"/>
  <c r="I64" i="12" s="1"/>
  <c r="B83" i="12"/>
  <c r="I83" i="12" s="1"/>
  <c r="B65" i="12"/>
  <c r="I65" i="12" s="1"/>
  <c r="B61" i="12"/>
  <c r="B59" i="12"/>
  <c r="B57" i="12"/>
  <c r="B55" i="12"/>
  <c r="B53" i="12"/>
  <c r="B51" i="12"/>
  <c r="B49" i="12"/>
  <c r="B47" i="12"/>
  <c r="B45" i="12"/>
  <c r="B43" i="12"/>
  <c r="B41" i="12"/>
  <c r="B39" i="12"/>
  <c r="B99" i="12"/>
  <c r="I99" i="12" s="1"/>
  <c r="B95" i="12"/>
  <c r="I95" i="12" s="1"/>
  <c r="B79" i="12"/>
  <c r="I79" i="12" s="1"/>
  <c r="B71" i="12"/>
  <c r="I71" i="12" s="1"/>
  <c r="B63" i="12"/>
  <c r="I63" i="12" s="1"/>
  <c r="B107" i="12"/>
  <c r="B91" i="12"/>
  <c r="I91" i="12" s="1"/>
  <c r="B75" i="12"/>
  <c r="I75" i="12" s="1"/>
  <c r="B69" i="12"/>
  <c r="I69" i="12" s="1"/>
  <c r="B62" i="12"/>
  <c r="I62" i="12" s="1"/>
  <c r="B60" i="12"/>
  <c r="B58" i="12"/>
  <c r="B56" i="12"/>
  <c r="B54" i="12"/>
  <c r="B52" i="12"/>
  <c r="B50" i="12"/>
  <c r="B48" i="12"/>
  <c r="B46" i="12"/>
  <c r="B44" i="12"/>
  <c r="B42" i="12"/>
  <c r="B40" i="12"/>
  <c r="B38" i="12"/>
  <c r="B87" i="12"/>
  <c r="I87" i="12" s="1"/>
  <c r="B37" i="12"/>
  <c r="B35" i="12"/>
  <c r="B33" i="12"/>
  <c r="B31" i="12"/>
  <c r="C31" i="12" s="1"/>
  <c r="B29" i="12"/>
  <c r="C29" i="12" s="1"/>
  <c r="B27" i="12"/>
  <c r="B25" i="12"/>
  <c r="C25" i="12" s="1"/>
  <c r="B23" i="12"/>
  <c r="C23" i="12" s="1"/>
  <c r="B21" i="12"/>
  <c r="C21" i="12" s="1"/>
  <c r="B19" i="12"/>
  <c r="C19" i="12" s="1"/>
  <c r="B17" i="12"/>
  <c r="C17" i="12" s="1"/>
  <c r="B15" i="12"/>
  <c r="C15" i="12" s="1"/>
  <c r="B13" i="12"/>
  <c r="C13" i="12" s="1"/>
  <c r="B11" i="12"/>
  <c r="C11" i="12" s="1"/>
  <c r="B36" i="12"/>
  <c r="B28" i="12"/>
  <c r="C28" i="12" s="1"/>
  <c r="B20" i="12"/>
  <c r="C20" i="12" s="1"/>
  <c r="B12" i="12"/>
  <c r="C12" i="12" s="1"/>
  <c r="B7" i="12"/>
  <c r="B22" i="12"/>
  <c r="C22" i="12" s="1"/>
  <c r="B14" i="12"/>
  <c r="C14" i="12" s="1"/>
  <c r="B34" i="12"/>
  <c r="B26" i="12"/>
  <c r="C26" i="12" s="1"/>
  <c r="B18" i="12"/>
  <c r="C18" i="12" s="1"/>
  <c r="B10" i="12"/>
  <c r="C10" i="12" s="1"/>
  <c r="B30" i="12"/>
  <c r="C30" i="12" s="1"/>
  <c r="B67" i="12"/>
  <c r="I67" i="12" s="1"/>
  <c r="B32" i="12"/>
  <c r="C32" i="12" s="1"/>
  <c r="B24" i="12"/>
  <c r="C24" i="12" s="1"/>
  <c r="B16" i="12"/>
  <c r="C16" i="12" s="1"/>
  <c r="B9" i="12"/>
  <c r="C9" i="12" s="1"/>
  <c r="B8" i="12"/>
  <c r="B11" i="1"/>
  <c r="D11" i="1" s="1"/>
  <c r="B7" i="1"/>
  <c r="D7" i="1" s="1"/>
  <c r="B8" i="1"/>
  <c r="D8" i="1" s="1"/>
  <c r="B10" i="1"/>
  <c r="D10" i="1" s="1"/>
  <c r="B9" i="1"/>
  <c r="D9" i="1" s="1"/>
  <c r="B62" i="1"/>
  <c r="G62" i="1" s="1"/>
  <c r="B29" i="1"/>
  <c r="B43" i="1"/>
  <c r="B40" i="1"/>
  <c r="B45" i="1"/>
  <c r="B19" i="1"/>
  <c r="B61" i="1"/>
  <c r="B28" i="1"/>
  <c r="B42" i="1"/>
  <c r="B13" i="1"/>
  <c r="D13" i="1" s="1"/>
  <c r="B35" i="1"/>
  <c r="B34" i="1"/>
  <c r="B33" i="1"/>
  <c r="B18" i="1"/>
  <c r="B15" i="1"/>
  <c r="D15" i="1" s="1"/>
  <c r="B50" i="1"/>
  <c r="B24" i="1"/>
  <c r="B17" i="1"/>
  <c r="D17" i="1" s="1"/>
  <c r="B21" i="1"/>
  <c r="B26" i="1"/>
  <c r="B47" i="1"/>
  <c r="B49" i="1"/>
  <c r="B51" i="1"/>
  <c r="B46" i="1"/>
  <c r="B30" i="1"/>
  <c r="B59" i="1"/>
  <c r="B39" i="1"/>
  <c r="B27" i="1"/>
  <c r="B60" i="1"/>
  <c r="B31" i="1"/>
  <c r="B52" i="1"/>
  <c r="B37" i="1"/>
  <c r="B53" i="1"/>
  <c r="B16" i="1"/>
  <c r="D16" i="1" s="1"/>
  <c r="B38" i="1"/>
  <c r="B48" i="1"/>
  <c r="B23" i="1"/>
  <c r="B55" i="1"/>
  <c r="B22" i="1"/>
  <c r="B54" i="1"/>
  <c r="B44" i="1"/>
  <c r="B32" i="1"/>
  <c r="B20" i="1"/>
  <c r="B36" i="1"/>
  <c r="B58" i="1"/>
  <c r="B41" i="1"/>
  <c r="B57" i="1"/>
  <c r="B56" i="1"/>
  <c r="B12" i="1"/>
  <c r="D12" i="1" s="1"/>
  <c r="B14" i="1"/>
  <c r="D14" i="1" s="1"/>
  <c r="B25" i="1"/>
  <c r="B159" i="1"/>
  <c r="G159" i="1" s="1"/>
  <c r="B92" i="1"/>
  <c r="G92" i="1" s="1"/>
  <c r="B81" i="1"/>
  <c r="G81" i="1" s="1"/>
  <c r="B148" i="1"/>
  <c r="G148" i="1" s="1"/>
  <c r="B90" i="1"/>
  <c r="G90" i="1" s="1"/>
  <c r="B100" i="1"/>
  <c r="G100" i="1" s="1"/>
  <c r="B99" i="1"/>
  <c r="G99" i="1" s="1"/>
  <c r="B93" i="1"/>
  <c r="G93" i="1" s="1"/>
  <c r="B111" i="1"/>
  <c r="G111" i="1" s="1"/>
  <c r="B138" i="1"/>
  <c r="G138" i="1" s="1"/>
  <c r="B167" i="1"/>
  <c r="G167" i="1" s="1"/>
  <c r="B80" i="1"/>
  <c r="G80" i="1" s="1"/>
  <c r="B134" i="1"/>
  <c r="G134" i="1" s="1"/>
  <c r="B126" i="1"/>
  <c r="G126" i="1" s="1"/>
  <c r="B122" i="1"/>
  <c r="G122" i="1" s="1"/>
  <c r="B119" i="1"/>
  <c r="G119" i="1" s="1"/>
  <c r="B133" i="1"/>
  <c r="G133" i="1" s="1"/>
  <c r="B71" i="1"/>
  <c r="G71" i="1" s="1"/>
  <c r="B158" i="1"/>
  <c r="G158" i="1" s="1"/>
  <c r="B149" i="1"/>
  <c r="G149" i="1" s="1"/>
  <c r="B151" i="1"/>
  <c r="G151" i="1" s="1"/>
  <c r="B132" i="1"/>
  <c r="G132" i="1" s="1"/>
  <c r="B146" i="1"/>
  <c r="G146" i="1" s="1"/>
  <c r="B66" i="1"/>
  <c r="G66" i="1" s="1"/>
  <c r="B64" i="1"/>
  <c r="G64" i="1" s="1"/>
  <c r="B67" i="1"/>
  <c r="G67" i="1" s="1"/>
  <c r="B120" i="1"/>
  <c r="G120" i="1" s="1"/>
  <c r="B63" i="1"/>
  <c r="G63" i="1" s="1"/>
  <c r="B78" i="1"/>
  <c r="G78" i="1" s="1"/>
  <c r="B83" i="1"/>
  <c r="G83" i="1" s="1"/>
  <c r="B103" i="1"/>
  <c r="G103" i="1" s="1"/>
  <c r="B75" i="1"/>
  <c r="G75" i="1" s="1"/>
  <c r="B127" i="1"/>
  <c r="G127" i="1" s="1"/>
  <c r="B77" i="1"/>
  <c r="G77" i="1" s="1"/>
  <c r="B85" i="1"/>
  <c r="G85" i="1" s="1"/>
  <c r="B121" i="1"/>
  <c r="G121" i="1" s="1"/>
  <c r="B88" i="1"/>
  <c r="G88" i="1" s="1"/>
  <c r="B104" i="1"/>
  <c r="G104" i="1" s="1"/>
  <c r="B160" i="1"/>
  <c r="G160" i="1" s="1"/>
  <c r="B73" i="1"/>
  <c r="G73" i="1" s="1"/>
  <c r="B94" i="1"/>
  <c r="G94" i="1" s="1"/>
  <c r="B118" i="1"/>
  <c r="G118" i="1" s="1"/>
  <c r="B141" i="1"/>
  <c r="G141" i="1" s="1"/>
  <c r="B79" i="1"/>
  <c r="G79" i="1" s="1"/>
  <c r="B95" i="1"/>
  <c r="G95" i="1" s="1"/>
  <c r="B125" i="1"/>
  <c r="G125" i="1" s="1"/>
  <c r="B150" i="1"/>
  <c r="G150" i="1" s="1"/>
  <c r="B170" i="1"/>
  <c r="G170" i="1" s="1"/>
  <c r="B109" i="1"/>
  <c r="G109" i="1" s="1"/>
  <c r="B117" i="1"/>
  <c r="G117" i="1" s="1"/>
  <c r="B131" i="1"/>
  <c r="G131" i="1" s="1"/>
  <c r="B147" i="1"/>
  <c r="G147" i="1" s="1"/>
  <c r="B157" i="1"/>
  <c r="G157" i="1" s="1"/>
  <c r="B165" i="1"/>
  <c r="G165" i="1" s="1"/>
  <c r="B135" i="1"/>
  <c r="G135" i="1" s="1"/>
  <c r="B162" i="1"/>
  <c r="G162" i="1" s="1"/>
  <c r="B70" i="1"/>
  <c r="G70" i="1" s="1"/>
  <c r="B97" i="1"/>
  <c r="G97" i="1" s="1"/>
  <c r="B137" i="1"/>
  <c r="G137" i="1" s="1"/>
  <c r="B102" i="1"/>
  <c r="G102" i="1" s="1"/>
  <c r="B136" i="1"/>
  <c r="G136" i="1" s="1"/>
  <c r="B68" i="1"/>
  <c r="G68" i="1" s="1"/>
  <c r="B96" i="1"/>
  <c r="G96" i="1" s="1"/>
  <c r="B128" i="1"/>
  <c r="G128" i="1" s="1"/>
  <c r="B65" i="1"/>
  <c r="G65" i="1" s="1"/>
  <c r="B84" i="1"/>
  <c r="G84" i="1" s="1"/>
  <c r="B101" i="1"/>
  <c r="G101" i="1" s="1"/>
  <c r="B130" i="1"/>
  <c r="G130" i="1" s="1"/>
  <c r="B152" i="1"/>
  <c r="G152" i="1" s="1"/>
  <c r="B87" i="1"/>
  <c r="G87" i="1" s="1"/>
  <c r="B106" i="1"/>
  <c r="G106" i="1" s="1"/>
  <c r="B144" i="1"/>
  <c r="G144" i="1" s="1"/>
  <c r="B154" i="1"/>
  <c r="G154" i="1" s="1"/>
  <c r="B105" i="1"/>
  <c r="G105" i="1" s="1"/>
  <c r="B113" i="1"/>
  <c r="G113" i="1" s="1"/>
  <c r="B123" i="1"/>
  <c r="G123" i="1" s="1"/>
  <c r="B139" i="1"/>
  <c r="G139" i="1" s="1"/>
  <c r="B153" i="1"/>
  <c r="G153" i="1" s="1"/>
  <c r="B161" i="1"/>
  <c r="G161" i="1" s="1"/>
  <c r="B169" i="1"/>
  <c r="G169" i="1" s="1"/>
  <c r="B108" i="1"/>
  <c r="G108" i="1" s="1"/>
  <c r="B86" i="1"/>
  <c r="G86" i="1" s="1"/>
  <c r="B129" i="1"/>
  <c r="G129" i="1" s="1"/>
  <c r="B164" i="1"/>
  <c r="G164" i="1" s="1"/>
  <c r="B142" i="1"/>
  <c r="G142" i="1" s="1"/>
  <c r="B72" i="1"/>
  <c r="G72" i="1" s="1"/>
  <c r="B116" i="1"/>
  <c r="G116" i="1" s="1"/>
  <c r="B76" i="1"/>
  <c r="G76" i="1" s="1"/>
  <c r="B82" i="1"/>
  <c r="G82" i="1" s="1"/>
  <c r="B110" i="1"/>
  <c r="G110" i="1" s="1"/>
  <c r="B156" i="1"/>
  <c r="G156" i="1" s="1"/>
  <c r="B74" i="1"/>
  <c r="G74" i="1" s="1"/>
  <c r="B98" i="1"/>
  <c r="G98" i="1" s="1"/>
  <c r="B143" i="1"/>
  <c r="G143" i="1" s="1"/>
  <c r="B69" i="1"/>
  <c r="G69" i="1" s="1"/>
  <c r="B89" i="1"/>
  <c r="G89" i="1" s="1"/>
  <c r="B112" i="1"/>
  <c r="G112" i="1" s="1"/>
  <c r="B166" i="1"/>
  <c r="G166" i="1" s="1"/>
  <c r="B91" i="1"/>
  <c r="G91" i="1" s="1"/>
  <c r="B114" i="1"/>
  <c r="G114" i="1" s="1"/>
  <c r="B145" i="1"/>
  <c r="G145" i="1" s="1"/>
  <c r="B168" i="1"/>
  <c r="G168" i="1" s="1"/>
  <c r="B107" i="1"/>
  <c r="G107" i="1" s="1"/>
  <c r="B115" i="1"/>
  <c r="G115" i="1" s="1"/>
  <c r="B124" i="1"/>
  <c r="G124" i="1" s="1"/>
  <c r="B140" i="1"/>
  <c r="G140" i="1" s="1"/>
  <c r="B155" i="1"/>
  <c r="G155" i="1" s="1"/>
  <c r="B163" i="1"/>
  <c r="G163" i="1" s="1"/>
  <c r="B171" i="1"/>
  <c r="G171" i="1" s="1"/>
  <c r="C27" i="12"/>
  <c r="C8" i="12"/>
  <c r="C7" i="12"/>
  <c r="G20" i="1" l="1"/>
  <c r="D20" i="1"/>
  <c r="G52" i="1"/>
  <c r="D52" i="1"/>
  <c r="G39" i="1"/>
  <c r="D39" i="1"/>
  <c r="G21" i="1"/>
  <c r="D21" i="1"/>
  <c r="G35" i="1"/>
  <c r="D35" i="1"/>
  <c r="G43" i="1"/>
  <c r="D43" i="1"/>
  <c r="G58" i="1"/>
  <c r="D58" i="1"/>
  <c r="G44" i="1"/>
  <c r="D44" i="1"/>
  <c r="G23" i="1"/>
  <c r="D23" i="1"/>
  <c r="G53" i="1"/>
  <c r="D53" i="1"/>
  <c r="G60" i="1"/>
  <c r="D60" i="1"/>
  <c r="G30" i="1"/>
  <c r="D30" i="1"/>
  <c r="G47" i="1"/>
  <c r="D47" i="1"/>
  <c r="G24" i="1"/>
  <c r="D24" i="1"/>
  <c r="G33" i="1"/>
  <c r="D33" i="1"/>
  <c r="G42" i="1"/>
  <c r="D42" i="1"/>
  <c r="G45" i="1"/>
  <c r="D45" i="1"/>
  <c r="G25" i="1"/>
  <c r="D25" i="1"/>
  <c r="G22" i="1"/>
  <c r="D22" i="1"/>
  <c r="G61" i="1"/>
  <c r="D61" i="1"/>
  <c r="G56" i="1"/>
  <c r="D56" i="1"/>
  <c r="G36" i="1"/>
  <c r="D36" i="1"/>
  <c r="G54" i="1"/>
  <c r="D54" i="1"/>
  <c r="G48" i="1"/>
  <c r="D48" i="1"/>
  <c r="G37" i="1"/>
  <c r="D37" i="1"/>
  <c r="G27" i="1"/>
  <c r="D27" i="1"/>
  <c r="G46" i="1"/>
  <c r="D46" i="1"/>
  <c r="G26" i="1"/>
  <c r="D26" i="1"/>
  <c r="G50" i="1"/>
  <c r="D50" i="1"/>
  <c r="G34" i="1"/>
  <c r="D34" i="1"/>
  <c r="G28" i="1"/>
  <c r="D28" i="1"/>
  <c r="G40" i="1"/>
  <c r="D40" i="1"/>
  <c r="G57" i="1"/>
  <c r="D57" i="1"/>
  <c r="G38" i="1"/>
  <c r="D38" i="1"/>
  <c r="G51" i="1"/>
  <c r="D51" i="1"/>
  <c r="G41" i="1"/>
  <c r="D41" i="1"/>
  <c r="G32" i="1"/>
  <c r="D32" i="1"/>
  <c r="G55" i="1"/>
  <c r="D55" i="1"/>
  <c r="G31" i="1"/>
  <c r="D31" i="1"/>
  <c r="G59" i="1"/>
  <c r="D59" i="1"/>
  <c r="G49" i="1"/>
  <c r="D49" i="1"/>
  <c r="G18" i="1"/>
  <c r="D18" i="1"/>
  <c r="G19" i="1"/>
  <c r="D19" i="1"/>
  <c r="G29" i="1"/>
  <c r="D29" i="1"/>
  <c r="G7" i="1"/>
  <c r="H163" i="1"/>
  <c r="H123" i="1"/>
  <c r="H128" i="1"/>
  <c r="H166" i="1"/>
  <c r="H110" i="1"/>
  <c r="H105" i="1"/>
  <c r="H165" i="1"/>
  <c r="H117" i="1"/>
  <c r="H125" i="1"/>
  <c r="H118" i="1"/>
  <c r="H104" i="1"/>
  <c r="H132" i="1"/>
  <c r="H126" i="1"/>
  <c r="H138" i="1"/>
  <c r="H115" i="1"/>
  <c r="H144" i="1"/>
  <c r="H147" i="1"/>
  <c r="H121" i="1"/>
  <c r="H149" i="1"/>
  <c r="H140" i="1"/>
  <c r="H168" i="1"/>
  <c r="H143" i="1"/>
  <c r="H153" i="1"/>
  <c r="H171" i="1"/>
  <c r="H124" i="1"/>
  <c r="H145" i="1"/>
  <c r="H112" i="1"/>
  <c r="H142" i="1"/>
  <c r="H108" i="1"/>
  <c r="H139" i="1"/>
  <c r="H154" i="1"/>
  <c r="H152" i="1"/>
  <c r="H136" i="1"/>
  <c r="H157" i="1"/>
  <c r="H109" i="1"/>
  <c r="H127" i="1"/>
  <c r="H151" i="1"/>
  <c r="H133" i="1"/>
  <c r="H134" i="1"/>
  <c r="H111" i="1"/>
  <c r="H159" i="1"/>
  <c r="H169" i="1"/>
  <c r="H162" i="1"/>
  <c r="H114" i="1"/>
  <c r="H164" i="1"/>
  <c r="H130" i="1"/>
  <c r="H102" i="1"/>
  <c r="H170" i="1"/>
  <c r="H119" i="1"/>
  <c r="H148" i="1"/>
  <c r="H155" i="1"/>
  <c r="H107" i="1"/>
  <c r="H156" i="1"/>
  <c r="H116" i="1"/>
  <c r="H129" i="1"/>
  <c r="H161" i="1"/>
  <c r="H113" i="1"/>
  <c r="H106" i="1"/>
  <c r="H137" i="1"/>
  <c r="H135" i="1"/>
  <c r="H131" i="1"/>
  <c r="H150" i="1"/>
  <c r="H141" i="1"/>
  <c r="H160" i="1"/>
  <c r="H103" i="1"/>
  <c r="H120" i="1"/>
  <c r="H146" i="1"/>
  <c r="H158" i="1"/>
  <c r="H122" i="1"/>
  <c r="H167" i="1"/>
  <c r="H69" i="1"/>
  <c r="K69" i="1"/>
  <c r="H96" i="1"/>
  <c r="K96" i="1"/>
  <c r="H72" i="1"/>
  <c r="K72" i="1"/>
  <c r="H86" i="1"/>
  <c r="K86" i="1"/>
  <c r="H87" i="1"/>
  <c r="K87" i="1"/>
  <c r="H84" i="1"/>
  <c r="K84" i="1"/>
  <c r="H68" i="1"/>
  <c r="K68" i="1"/>
  <c r="H97" i="1"/>
  <c r="K97" i="1"/>
  <c r="H77" i="1"/>
  <c r="K77" i="1"/>
  <c r="H83" i="1"/>
  <c r="K83" i="1"/>
  <c r="H67" i="1"/>
  <c r="K67" i="1"/>
  <c r="H71" i="1"/>
  <c r="K71" i="1"/>
  <c r="H100" i="1"/>
  <c r="K100" i="1"/>
  <c r="H92" i="1"/>
  <c r="K92" i="1"/>
  <c r="H58" i="1"/>
  <c r="K58" i="1"/>
  <c r="H44" i="1"/>
  <c r="K44" i="1"/>
  <c r="H53" i="1"/>
  <c r="K53" i="1"/>
  <c r="H60" i="1"/>
  <c r="K60" i="1"/>
  <c r="H47" i="1"/>
  <c r="K47" i="1"/>
  <c r="H42" i="1"/>
  <c r="K42" i="1"/>
  <c r="H45" i="1"/>
  <c r="K45" i="1"/>
  <c r="H62" i="1"/>
  <c r="K62" i="1"/>
  <c r="H82" i="1"/>
  <c r="K82" i="1"/>
  <c r="H65" i="1"/>
  <c r="K65" i="1"/>
  <c r="H70" i="1"/>
  <c r="K70" i="1"/>
  <c r="H95" i="1"/>
  <c r="K95" i="1"/>
  <c r="H94" i="1"/>
  <c r="K94" i="1"/>
  <c r="H88" i="1"/>
  <c r="K88" i="1"/>
  <c r="H78" i="1"/>
  <c r="K78" i="1"/>
  <c r="H64" i="1"/>
  <c r="K64" i="1"/>
  <c r="H90" i="1"/>
  <c r="K90" i="1"/>
  <c r="H56" i="1"/>
  <c r="K56" i="1"/>
  <c r="H36" i="1"/>
  <c r="K36" i="1"/>
  <c r="H54" i="1"/>
  <c r="K54" i="1"/>
  <c r="H48" i="1"/>
  <c r="K48" i="1"/>
  <c r="H37" i="1"/>
  <c r="K37" i="1"/>
  <c r="H46" i="1"/>
  <c r="K46" i="1"/>
  <c r="H50" i="1"/>
  <c r="K50" i="1"/>
  <c r="H40" i="1"/>
  <c r="K40" i="1"/>
  <c r="H98" i="1"/>
  <c r="K98" i="1"/>
  <c r="H89" i="1"/>
  <c r="K89" i="1"/>
  <c r="H74" i="1"/>
  <c r="K74" i="1"/>
  <c r="H76" i="1"/>
  <c r="K76" i="1"/>
  <c r="H79" i="1"/>
  <c r="K79" i="1"/>
  <c r="H73" i="1"/>
  <c r="K73" i="1"/>
  <c r="H75" i="1"/>
  <c r="K75" i="1"/>
  <c r="H63" i="1"/>
  <c r="K63" i="1"/>
  <c r="H66" i="1"/>
  <c r="K66" i="1"/>
  <c r="H80" i="1"/>
  <c r="K80" i="1"/>
  <c r="H93" i="1"/>
  <c r="K93" i="1"/>
  <c r="H57" i="1"/>
  <c r="K57" i="1"/>
  <c r="H38" i="1"/>
  <c r="K38" i="1"/>
  <c r="H52" i="1"/>
  <c r="K52" i="1"/>
  <c r="H39" i="1"/>
  <c r="K39" i="1"/>
  <c r="H51" i="1"/>
  <c r="K51" i="1"/>
  <c r="H35" i="1"/>
  <c r="K35" i="1"/>
  <c r="H61" i="1"/>
  <c r="K61" i="1"/>
  <c r="H43" i="1"/>
  <c r="K43" i="1"/>
  <c r="H91" i="1"/>
  <c r="K91" i="1"/>
  <c r="H101" i="1"/>
  <c r="K101" i="1"/>
  <c r="H85" i="1"/>
  <c r="K85" i="1"/>
  <c r="H99" i="1"/>
  <c r="K99" i="1"/>
  <c r="H81" i="1"/>
  <c r="K81" i="1"/>
  <c r="H41" i="1"/>
  <c r="K41" i="1"/>
  <c r="H55" i="1"/>
  <c r="K55" i="1"/>
  <c r="H59" i="1"/>
  <c r="K59" i="1"/>
  <c r="H49" i="1"/>
  <c r="K49" i="1"/>
  <c r="Q72" i="1"/>
  <c r="Q86" i="1"/>
  <c r="Q87" i="1"/>
  <c r="Q84" i="1"/>
  <c r="Q68" i="1"/>
  <c r="Q97" i="1"/>
  <c r="Q77" i="1"/>
  <c r="Q83" i="1"/>
  <c r="Q67" i="1"/>
  <c r="Q71" i="1"/>
  <c r="Q100" i="1"/>
  <c r="Q92" i="1"/>
  <c r="Q62" i="1"/>
  <c r="Q98" i="1"/>
  <c r="Q82" i="1"/>
  <c r="Q65" i="1"/>
  <c r="Q70" i="1"/>
  <c r="Q95" i="1"/>
  <c r="Q94" i="1"/>
  <c r="Q88" i="1"/>
  <c r="Q78" i="1"/>
  <c r="Q64" i="1"/>
  <c r="Q90" i="1"/>
  <c r="Q89" i="1"/>
  <c r="Q74" i="1"/>
  <c r="Q76" i="1"/>
  <c r="Q79" i="1"/>
  <c r="Q73" i="1"/>
  <c r="Q75" i="1"/>
  <c r="Q63" i="1"/>
  <c r="Q66" i="1"/>
  <c r="Q80" i="1"/>
  <c r="Q93" i="1"/>
  <c r="Q91" i="1"/>
  <c r="Q69" i="1"/>
  <c r="Q101" i="1"/>
  <c r="Q96" i="1"/>
  <c r="Q85" i="1"/>
  <c r="Q99" i="1"/>
  <c r="Q81" i="1"/>
  <c r="P168" i="1"/>
  <c r="Q168" i="1"/>
  <c r="P166" i="1"/>
  <c r="Q166" i="1"/>
  <c r="P143" i="1"/>
  <c r="Q143" i="1"/>
  <c r="P110" i="1"/>
  <c r="Q110" i="1"/>
  <c r="P153" i="1"/>
  <c r="Q153" i="1"/>
  <c r="P105" i="1"/>
  <c r="Q105" i="1"/>
  <c r="P165" i="1"/>
  <c r="Q165" i="1"/>
  <c r="P117" i="1"/>
  <c r="Q117" i="1"/>
  <c r="P125" i="1"/>
  <c r="Q125" i="1"/>
  <c r="P118" i="1"/>
  <c r="Q118" i="1"/>
  <c r="P104" i="1"/>
  <c r="Q104" i="1"/>
  <c r="P132" i="1"/>
  <c r="Q132" i="1"/>
  <c r="P126" i="1"/>
  <c r="Q126" i="1"/>
  <c r="P138" i="1"/>
  <c r="Q138" i="1"/>
  <c r="P171" i="1"/>
  <c r="Q171" i="1"/>
  <c r="P124" i="1"/>
  <c r="Q124" i="1"/>
  <c r="P145" i="1"/>
  <c r="Q145" i="1"/>
  <c r="P112" i="1"/>
  <c r="Q112" i="1"/>
  <c r="P142" i="1"/>
  <c r="Q142" i="1"/>
  <c r="P108" i="1"/>
  <c r="Q108" i="1"/>
  <c r="P139" i="1"/>
  <c r="Q139" i="1"/>
  <c r="P154" i="1"/>
  <c r="Q154" i="1"/>
  <c r="P152" i="1"/>
  <c r="Q152" i="1"/>
  <c r="P136" i="1"/>
  <c r="Q136" i="1"/>
  <c r="P157" i="1"/>
  <c r="Q157" i="1"/>
  <c r="P109" i="1"/>
  <c r="Q109" i="1"/>
  <c r="P127" i="1"/>
  <c r="Q127" i="1"/>
  <c r="P151" i="1"/>
  <c r="Q151" i="1"/>
  <c r="P133" i="1"/>
  <c r="Q133" i="1"/>
  <c r="P134" i="1"/>
  <c r="Q134" i="1"/>
  <c r="P111" i="1"/>
  <c r="Q111" i="1"/>
  <c r="P159" i="1"/>
  <c r="Q159" i="1"/>
  <c r="P140" i="1"/>
  <c r="Q140" i="1"/>
  <c r="P115" i="1"/>
  <c r="Q115" i="1"/>
  <c r="P164" i="1"/>
  <c r="Q164" i="1"/>
  <c r="P169" i="1"/>
  <c r="Q169" i="1"/>
  <c r="P123" i="1"/>
  <c r="Q123" i="1"/>
  <c r="P144" i="1"/>
  <c r="Q144" i="1"/>
  <c r="P130" i="1"/>
  <c r="Q130" i="1"/>
  <c r="P128" i="1"/>
  <c r="Q128" i="1"/>
  <c r="P102" i="1"/>
  <c r="Q102" i="1"/>
  <c r="P162" i="1"/>
  <c r="Q162" i="1"/>
  <c r="P147" i="1"/>
  <c r="Q147" i="1"/>
  <c r="P170" i="1"/>
  <c r="Q170" i="1"/>
  <c r="P121" i="1"/>
  <c r="Q121" i="1"/>
  <c r="P149" i="1"/>
  <c r="Q149" i="1"/>
  <c r="P119" i="1"/>
  <c r="Q119" i="1"/>
  <c r="P148" i="1"/>
  <c r="Q148" i="1"/>
  <c r="P163" i="1"/>
  <c r="Q163" i="1"/>
  <c r="P114" i="1"/>
  <c r="Q114" i="1"/>
  <c r="P155" i="1"/>
  <c r="Q155" i="1"/>
  <c r="P107" i="1"/>
  <c r="Q107" i="1"/>
  <c r="P156" i="1"/>
  <c r="Q156" i="1"/>
  <c r="P116" i="1"/>
  <c r="Q116" i="1"/>
  <c r="P129" i="1"/>
  <c r="Q129" i="1"/>
  <c r="P161" i="1"/>
  <c r="Q161" i="1"/>
  <c r="P113" i="1"/>
  <c r="Q113" i="1"/>
  <c r="P106" i="1"/>
  <c r="Q106" i="1"/>
  <c r="P137" i="1"/>
  <c r="Q137" i="1"/>
  <c r="P135" i="1"/>
  <c r="Q135" i="1"/>
  <c r="P131" i="1"/>
  <c r="Q131" i="1"/>
  <c r="P150" i="1"/>
  <c r="Q150" i="1"/>
  <c r="P141" i="1"/>
  <c r="Q141" i="1"/>
  <c r="P160" i="1"/>
  <c r="Q160" i="1"/>
  <c r="P103" i="1"/>
  <c r="Q103" i="1"/>
  <c r="P120" i="1"/>
  <c r="Q120" i="1"/>
  <c r="P146" i="1"/>
  <c r="Q146" i="1"/>
  <c r="P158" i="1"/>
  <c r="Q158" i="1"/>
  <c r="P122" i="1"/>
  <c r="Q122" i="1"/>
  <c r="P167" i="1"/>
  <c r="Q167" i="1"/>
  <c r="O84" i="1"/>
  <c r="P84" i="1"/>
  <c r="O68" i="1"/>
  <c r="P68" i="1"/>
  <c r="O97" i="1"/>
  <c r="P97" i="1"/>
  <c r="O77" i="1"/>
  <c r="P77" i="1"/>
  <c r="O83" i="1"/>
  <c r="P83" i="1"/>
  <c r="O67" i="1"/>
  <c r="P67" i="1"/>
  <c r="O71" i="1"/>
  <c r="P71" i="1"/>
  <c r="O100" i="1"/>
  <c r="P100" i="1"/>
  <c r="O92" i="1"/>
  <c r="P92" i="1"/>
  <c r="O62" i="1"/>
  <c r="P62" i="1"/>
  <c r="O86" i="1"/>
  <c r="P86" i="1"/>
  <c r="O98" i="1"/>
  <c r="P98" i="1"/>
  <c r="O82" i="1"/>
  <c r="P82" i="1"/>
  <c r="O65" i="1"/>
  <c r="P65" i="1"/>
  <c r="O70" i="1"/>
  <c r="P70" i="1"/>
  <c r="O95" i="1"/>
  <c r="P95" i="1"/>
  <c r="O94" i="1"/>
  <c r="P94" i="1"/>
  <c r="O88" i="1"/>
  <c r="P88" i="1"/>
  <c r="O78" i="1"/>
  <c r="P78" i="1"/>
  <c r="O64" i="1"/>
  <c r="P64" i="1"/>
  <c r="O90" i="1"/>
  <c r="P90" i="1"/>
  <c r="O89" i="1"/>
  <c r="P89" i="1"/>
  <c r="O74" i="1"/>
  <c r="P74" i="1"/>
  <c r="O76" i="1"/>
  <c r="P76" i="1"/>
  <c r="O79" i="1"/>
  <c r="P79" i="1"/>
  <c r="O73" i="1"/>
  <c r="P73" i="1"/>
  <c r="O75" i="1"/>
  <c r="P75" i="1"/>
  <c r="O63" i="1"/>
  <c r="P63" i="1"/>
  <c r="O66" i="1"/>
  <c r="P66" i="1"/>
  <c r="O80" i="1"/>
  <c r="P80" i="1"/>
  <c r="O93" i="1"/>
  <c r="P93" i="1"/>
  <c r="O72" i="1"/>
  <c r="P72" i="1"/>
  <c r="O87" i="1"/>
  <c r="P87" i="1"/>
  <c r="O91" i="1"/>
  <c r="P91" i="1"/>
  <c r="O69" i="1"/>
  <c r="P69" i="1"/>
  <c r="O101" i="1"/>
  <c r="P101" i="1"/>
  <c r="O96" i="1"/>
  <c r="P96" i="1"/>
  <c r="O85" i="1"/>
  <c r="P85" i="1"/>
  <c r="O99" i="1"/>
  <c r="P99" i="1"/>
  <c r="O81" i="1"/>
  <c r="P81" i="1"/>
  <c r="N163" i="1"/>
  <c r="O163" i="1"/>
  <c r="N140" i="1"/>
  <c r="O140" i="1"/>
  <c r="N168" i="1"/>
  <c r="O168" i="1"/>
  <c r="N166" i="1"/>
  <c r="O166" i="1"/>
  <c r="N143" i="1"/>
  <c r="O143" i="1"/>
  <c r="N110" i="1"/>
  <c r="O110" i="1"/>
  <c r="N153" i="1"/>
  <c r="O153" i="1"/>
  <c r="N105" i="1"/>
  <c r="O105" i="1"/>
  <c r="N165" i="1"/>
  <c r="O165" i="1"/>
  <c r="N117" i="1"/>
  <c r="O117" i="1"/>
  <c r="N125" i="1"/>
  <c r="O125" i="1"/>
  <c r="N118" i="1"/>
  <c r="O118" i="1"/>
  <c r="N104" i="1"/>
  <c r="O104" i="1"/>
  <c r="N132" i="1"/>
  <c r="O132" i="1"/>
  <c r="N126" i="1"/>
  <c r="O126" i="1"/>
  <c r="N138" i="1"/>
  <c r="O138" i="1"/>
  <c r="N124" i="1"/>
  <c r="O124" i="1"/>
  <c r="N112" i="1"/>
  <c r="O112" i="1"/>
  <c r="N142" i="1"/>
  <c r="O142" i="1"/>
  <c r="N108" i="1"/>
  <c r="O108" i="1"/>
  <c r="N139" i="1"/>
  <c r="O139" i="1"/>
  <c r="N154" i="1"/>
  <c r="O154" i="1"/>
  <c r="N152" i="1"/>
  <c r="O152" i="1"/>
  <c r="N136" i="1"/>
  <c r="O136" i="1"/>
  <c r="N157" i="1"/>
  <c r="O157" i="1"/>
  <c r="N109" i="1"/>
  <c r="O109" i="1"/>
  <c r="N127" i="1"/>
  <c r="O127" i="1"/>
  <c r="N151" i="1"/>
  <c r="O151" i="1"/>
  <c r="N133" i="1"/>
  <c r="O133" i="1"/>
  <c r="N134" i="1"/>
  <c r="O134" i="1"/>
  <c r="N111" i="1"/>
  <c r="O111" i="1"/>
  <c r="N159" i="1"/>
  <c r="O159" i="1"/>
  <c r="N145" i="1"/>
  <c r="O145" i="1"/>
  <c r="N114" i="1"/>
  <c r="O114" i="1"/>
  <c r="N164" i="1"/>
  <c r="O164" i="1"/>
  <c r="N169" i="1"/>
  <c r="O169" i="1"/>
  <c r="N123" i="1"/>
  <c r="O123" i="1"/>
  <c r="N144" i="1"/>
  <c r="O144" i="1"/>
  <c r="N130" i="1"/>
  <c r="O130" i="1"/>
  <c r="N128" i="1"/>
  <c r="O128" i="1"/>
  <c r="N102" i="1"/>
  <c r="O102" i="1"/>
  <c r="N162" i="1"/>
  <c r="O162" i="1"/>
  <c r="N147" i="1"/>
  <c r="O147" i="1"/>
  <c r="N170" i="1"/>
  <c r="O170" i="1"/>
  <c r="N121" i="1"/>
  <c r="O121" i="1"/>
  <c r="N149" i="1"/>
  <c r="O149" i="1"/>
  <c r="N119" i="1"/>
  <c r="O119" i="1"/>
  <c r="N148" i="1"/>
  <c r="O148" i="1"/>
  <c r="N171" i="1"/>
  <c r="O171" i="1"/>
  <c r="N115" i="1"/>
  <c r="O115" i="1"/>
  <c r="N155" i="1"/>
  <c r="O155" i="1"/>
  <c r="N107" i="1"/>
  <c r="O107" i="1"/>
  <c r="N156" i="1"/>
  <c r="O156" i="1"/>
  <c r="N116" i="1"/>
  <c r="O116" i="1"/>
  <c r="N129" i="1"/>
  <c r="O129" i="1"/>
  <c r="N161" i="1"/>
  <c r="O161" i="1"/>
  <c r="N113" i="1"/>
  <c r="O113" i="1"/>
  <c r="N106" i="1"/>
  <c r="O106" i="1"/>
  <c r="N137" i="1"/>
  <c r="O137" i="1"/>
  <c r="N135" i="1"/>
  <c r="O135" i="1"/>
  <c r="N131" i="1"/>
  <c r="O131" i="1"/>
  <c r="N150" i="1"/>
  <c r="O150" i="1"/>
  <c r="N141" i="1"/>
  <c r="O141" i="1"/>
  <c r="N160" i="1"/>
  <c r="O160" i="1"/>
  <c r="N103" i="1"/>
  <c r="O103" i="1"/>
  <c r="N120" i="1"/>
  <c r="O120" i="1"/>
  <c r="N146" i="1"/>
  <c r="O146" i="1"/>
  <c r="N158" i="1"/>
  <c r="O158" i="1"/>
  <c r="N122" i="1"/>
  <c r="O122" i="1"/>
  <c r="N167" i="1"/>
  <c r="O167" i="1"/>
  <c r="M72" i="1"/>
  <c r="N72" i="1"/>
  <c r="M86" i="1"/>
  <c r="N86" i="1"/>
  <c r="M87" i="1"/>
  <c r="N87" i="1"/>
  <c r="M84" i="1"/>
  <c r="N84" i="1"/>
  <c r="M68" i="1"/>
  <c r="N68" i="1"/>
  <c r="M97" i="1"/>
  <c r="N97" i="1"/>
  <c r="M77" i="1"/>
  <c r="N77" i="1"/>
  <c r="M83" i="1"/>
  <c r="N83" i="1"/>
  <c r="M67" i="1"/>
  <c r="N67" i="1"/>
  <c r="M71" i="1"/>
  <c r="N71" i="1"/>
  <c r="M100" i="1"/>
  <c r="N100" i="1"/>
  <c r="M92" i="1"/>
  <c r="N92" i="1"/>
  <c r="M62" i="1"/>
  <c r="N62" i="1"/>
  <c r="M98" i="1"/>
  <c r="N98" i="1"/>
  <c r="M82" i="1"/>
  <c r="N82" i="1"/>
  <c r="M65" i="1"/>
  <c r="N65" i="1"/>
  <c r="M70" i="1"/>
  <c r="N70" i="1"/>
  <c r="M95" i="1"/>
  <c r="N95" i="1"/>
  <c r="M94" i="1"/>
  <c r="N94" i="1"/>
  <c r="M88" i="1"/>
  <c r="N88" i="1"/>
  <c r="M78" i="1"/>
  <c r="N78" i="1"/>
  <c r="M64" i="1"/>
  <c r="N64" i="1"/>
  <c r="M90" i="1"/>
  <c r="N90" i="1"/>
  <c r="M74" i="1"/>
  <c r="N74" i="1"/>
  <c r="M76" i="1"/>
  <c r="N76" i="1"/>
  <c r="M79" i="1"/>
  <c r="N79" i="1"/>
  <c r="M73" i="1"/>
  <c r="N73" i="1"/>
  <c r="M75" i="1"/>
  <c r="N75" i="1"/>
  <c r="M63" i="1"/>
  <c r="N63" i="1"/>
  <c r="M66" i="1"/>
  <c r="N66" i="1"/>
  <c r="M80" i="1"/>
  <c r="N80" i="1"/>
  <c r="M93" i="1"/>
  <c r="N93" i="1"/>
  <c r="M89" i="1"/>
  <c r="N89" i="1"/>
  <c r="M91" i="1"/>
  <c r="N91" i="1"/>
  <c r="M69" i="1"/>
  <c r="N69" i="1"/>
  <c r="M101" i="1"/>
  <c r="N101" i="1"/>
  <c r="M96" i="1"/>
  <c r="N96" i="1"/>
  <c r="M85" i="1"/>
  <c r="N85" i="1"/>
  <c r="M99" i="1"/>
  <c r="N99" i="1"/>
  <c r="M81" i="1"/>
  <c r="N81" i="1"/>
  <c r="J124" i="1"/>
  <c r="M124" i="1"/>
  <c r="J140" i="1"/>
  <c r="M140" i="1"/>
  <c r="J168" i="1"/>
  <c r="M168" i="1"/>
  <c r="J166" i="1"/>
  <c r="M166" i="1"/>
  <c r="J143" i="1"/>
  <c r="M143" i="1"/>
  <c r="J110" i="1"/>
  <c r="M110" i="1"/>
  <c r="J153" i="1"/>
  <c r="M153" i="1"/>
  <c r="J105" i="1"/>
  <c r="M105" i="1"/>
  <c r="J165" i="1"/>
  <c r="M165" i="1"/>
  <c r="J117" i="1"/>
  <c r="M117" i="1"/>
  <c r="J125" i="1"/>
  <c r="M125" i="1"/>
  <c r="J118" i="1"/>
  <c r="M118" i="1"/>
  <c r="J104" i="1"/>
  <c r="M104" i="1"/>
  <c r="J132" i="1"/>
  <c r="M132" i="1"/>
  <c r="J126" i="1"/>
  <c r="M126" i="1"/>
  <c r="J138" i="1"/>
  <c r="M138" i="1"/>
  <c r="J171" i="1"/>
  <c r="M171" i="1"/>
  <c r="J112" i="1"/>
  <c r="M112" i="1"/>
  <c r="J142" i="1"/>
  <c r="M142" i="1"/>
  <c r="J108" i="1"/>
  <c r="M108" i="1"/>
  <c r="J139" i="1"/>
  <c r="M139" i="1"/>
  <c r="J154" i="1"/>
  <c r="M154" i="1"/>
  <c r="J152" i="1"/>
  <c r="M152" i="1"/>
  <c r="J136" i="1"/>
  <c r="M136" i="1"/>
  <c r="J157" i="1"/>
  <c r="M157" i="1"/>
  <c r="J109" i="1"/>
  <c r="M109" i="1"/>
  <c r="J127" i="1"/>
  <c r="M127" i="1"/>
  <c r="J151" i="1"/>
  <c r="M151" i="1"/>
  <c r="J133" i="1"/>
  <c r="M133" i="1"/>
  <c r="J134" i="1"/>
  <c r="M134" i="1"/>
  <c r="J111" i="1"/>
  <c r="M111" i="1"/>
  <c r="J159" i="1"/>
  <c r="M159" i="1"/>
  <c r="J163" i="1"/>
  <c r="M163" i="1"/>
  <c r="J115" i="1"/>
  <c r="M115" i="1"/>
  <c r="J114" i="1"/>
  <c r="M114" i="1"/>
  <c r="J164" i="1"/>
  <c r="M164" i="1"/>
  <c r="J169" i="1"/>
  <c r="M169" i="1"/>
  <c r="J123" i="1"/>
  <c r="M123" i="1"/>
  <c r="J144" i="1"/>
  <c r="M144" i="1"/>
  <c r="J130" i="1"/>
  <c r="M130" i="1"/>
  <c r="J128" i="1"/>
  <c r="M128" i="1"/>
  <c r="J102" i="1"/>
  <c r="M102" i="1"/>
  <c r="J162" i="1"/>
  <c r="M162" i="1"/>
  <c r="J147" i="1"/>
  <c r="M147" i="1"/>
  <c r="J170" i="1"/>
  <c r="M170" i="1"/>
  <c r="J121" i="1"/>
  <c r="M121" i="1"/>
  <c r="J149" i="1"/>
  <c r="M149" i="1"/>
  <c r="J119" i="1"/>
  <c r="M119" i="1"/>
  <c r="J148" i="1"/>
  <c r="M148" i="1"/>
  <c r="J145" i="1"/>
  <c r="M145" i="1"/>
  <c r="J155" i="1"/>
  <c r="M155" i="1"/>
  <c r="J107" i="1"/>
  <c r="M107" i="1"/>
  <c r="J156" i="1"/>
  <c r="M156" i="1"/>
  <c r="J116" i="1"/>
  <c r="M116" i="1"/>
  <c r="J129" i="1"/>
  <c r="M129" i="1"/>
  <c r="J161" i="1"/>
  <c r="M161" i="1"/>
  <c r="J113" i="1"/>
  <c r="M113" i="1"/>
  <c r="J106" i="1"/>
  <c r="M106" i="1"/>
  <c r="J137" i="1"/>
  <c r="M137" i="1"/>
  <c r="J135" i="1"/>
  <c r="M135" i="1"/>
  <c r="J131" i="1"/>
  <c r="M131" i="1"/>
  <c r="J150" i="1"/>
  <c r="M150" i="1"/>
  <c r="J141" i="1"/>
  <c r="M141" i="1"/>
  <c r="J160" i="1"/>
  <c r="M160" i="1"/>
  <c r="J103" i="1"/>
  <c r="M103" i="1"/>
  <c r="J120" i="1"/>
  <c r="M120" i="1"/>
  <c r="J146" i="1"/>
  <c r="M146" i="1"/>
  <c r="J158" i="1"/>
  <c r="M158" i="1"/>
  <c r="J122" i="1"/>
  <c r="M122" i="1"/>
  <c r="J167" i="1"/>
  <c r="M167" i="1"/>
  <c r="I72" i="1"/>
  <c r="J72" i="1"/>
  <c r="I86" i="1"/>
  <c r="J86" i="1"/>
  <c r="I87" i="1"/>
  <c r="J87" i="1"/>
  <c r="I84" i="1"/>
  <c r="J84" i="1"/>
  <c r="I68" i="1"/>
  <c r="J68" i="1"/>
  <c r="I97" i="1"/>
  <c r="J97" i="1"/>
  <c r="I77" i="1"/>
  <c r="J77" i="1"/>
  <c r="I83" i="1"/>
  <c r="J83" i="1"/>
  <c r="I67" i="1"/>
  <c r="J67" i="1"/>
  <c r="I71" i="1"/>
  <c r="J71" i="1"/>
  <c r="I100" i="1"/>
  <c r="J100" i="1"/>
  <c r="I92" i="1"/>
  <c r="J92" i="1"/>
  <c r="I62" i="1"/>
  <c r="J62" i="1"/>
  <c r="I98" i="1"/>
  <c r="J98" i="1"/>
  <c r="I82" i="1"/>
  <c r="J82" i="1"/>
  <c r="I65" i="1"/>
  <c r="J65" i="1"/>
  <c r="I70" i="1"/>
  <c r="J70" i="1"/>
  <c r="I95" i="1"/>
  <c r="J95" i="1"/>
  <c r="I94" i="1"/>
  <c r="J94" i="1"/>
  <c r="I88" i="1"/>
  <c r="J88" i="1"/>
  <c r="I78" i="1"/>
  <c r="J78" i="1"/>
  <c r="I64" i="1"/>
  <c r="J64" i="1"/>
  <c r="I90" i="1"/>
  <c r="J90" i="1"/>
  <c r="I89" i="1"/>
  <c r="J89" i="1"/>
  <c r="I74" i="1"/>
  <c r="J74" i="1"/>
  <c r="I76" i="1"/>
  <c r="J76" i="1"/>
  <c r="I79" i="1"/>
  <c r="J79" i="1"/>
  <c r="I73" i="1"/>
  <c r="J73" i="1"/>
  <c r="I75" i="1"/>
  <c r="J75" i="1"/>
  <c r="I63" i="1"/>
  <c r="J63" i="1"/>
  <c r="I66" i="1"/>
  <c r="J66" i="1"/>
  <c r="I80" i="1"/>
  <c r="J80" i="1"/>
  <c r="I93" i="1"/>
  <c r="J93" i="1"/>
  <c r="I91" i="1"/>
  <c r="J91" i="1"/>
  <c r="I69" i="1"/>
  <c r="J69" i="1"/>
  <c r="I101" i="1"/>
  <c r="J101" i="1"/>
  <c r="I96" i="1"/>
  <c r="J96" i="1"/>
  <c r="I85" i="1"/>
  <c r="J85" i="1"/>
  <c r="I99" i="1"/>
  <c r="J99" i="1"/>
  <c r="I81" i="1"/>
  <c r="J81" i="1"/>
  <c r="C163" i="1"/>
  <c r="F163" i="1"/>
  <c r="C89" i="1"/>
  <c r="F89" i="1"/>
  <c r="C164" i="1"/>
  <c r="F164" i="1"/>
  <c r="C107" i="1"/>
  <c r="F107" i="1"/>
  <c r="C69" i="1"/>
  <c r="F69" i="1"/>
  <c r="C116" i="1"/>
  <c r="F116" i="1"/>
  <c r="C129" i="1"/>
  <c r="F129" i="1"/>
  <c r="C106" i="1"/>
  <c r="F106" i="1"/>
  <c r="C96" i="1"/>
  <c r="F96" i="1"/>
  <c r="C137" i="1"/>
  <c r="F137" i="1"/>
  <c r="C131" i="1"/>
  <c r="F131" i="1"/>
  <c r="C141" i="1"/>
  <c r="F141" i="1"/>
  <c r="C85" i="1"/>
  <c r="F85" i="1"/>
  <c r="C140" i="1"/>
  <c r="F140" i="1"/>
  <c r="C168" i="1"/>
  <c r="F168" i="1"/>
  <c r="C166" i="1"/>
  <c r="F166" i="1"/>
  <c r="C143" i="1"/>
  <c r="F143" i="1"/>
  <c r="C110" i="1"/>
  <c r="F110" i="1"/>
  <c r="C72" i="1"/>
  <c r="F72" i="1"/>
  <c r="C86" i="1"/>
  <c r="F86" i="1"/>
  <c r="C153" i="1"/>
  <c r="F153" i="1"/>
  <c r="C105" i="1"/>
  <c r="F105" i="1"/>
  <c r="C87" i="1"/>
  <c r="F87" i="1"/>
  <c r="C84" i="1"/>
  <c r="F84" i="1"/>
  <c r="C68" i="1"/>
  <c r="F68" i="1"/>
  <c r="C97" i="1"/>
  <c r="F97" i="1"/>
  <c r="C165" i="1"/>
  <c r="F165" i="1"/>
  <c r="C117" i="1"/>
  <c r="F117" i="1"/>
  <c r="C125" i="1"/>
  <c r="F125" i="1"/>
  <c r="C118" i="1"/>
  <c r="F118" i="1"/>
  <c r="C104" i="1"/>
  <c r="F104" i="1"/>
  <c r="C77" i="1"/>
  <c r="F77" i="1"/>
  <c r="C83" i="1"/>
  <c r="F83" i="1"/>
  <c r="C67" i="1"/>
  <c r="F67" i="1"/>
  <c r="C132" i="1"/>
  <c r="F132" i="1"/>
  <c r="C71" i="1"/>
  <c r="F71" i="1"/>
  <c r="C126" i="1"/>
  <c r="F126" i="1"/>
  <c r="C138" i="1"/>
  <c r="F138" i="1"/>
  <c r="C100" i="1"/>
  <c r="F100" i="1"/>
  <c r="C92" i="1"/>
  <c r="F92" i="1"/>
  <c r="C62" i="1"/>
  <c r="F62" i="1"/>
  <c r="C114" i="1"/>
  <c r="F114" i="1"/>
  <c r="C76" i="1"/>
  <c r="F76" i="1"/>
  <c r="C155" i="1"/>
  <c r="F155" i="1"/>
  <c r="C91" i="1"/>
  <c r="F91" i="1"/>
  <c r="C156" i="1"/>
  <c r="F156" i="1"/>
  <c r="C161" i="1"/>
  <c r="F161" i="1"/>
  <c r="C113" i="1"/>
  <c r="F113" i="1"/>
  <c r="C101" i="1"/>
  <c r="F101" i="1"/>
  <c r="C135" i="1"/>
  <c r="F135" i="1"/>
  <c r="C150" i="1"/>
  <c r="F150" i="1"/>
  <c r="C160" i="1"/>
  <c r="F160" i="1"/>
  <c r="C171" i="1"/>
  <c r="F171" i="1"/>
  <c r="C124" i="1"/>
  <c r="F124" i="1"/>
  <c r="C145" i="1"/>
  <c r="F145" i="1"/>
  <c r="C112" i="1"/>
  <c r="F112" i="1"/>
  <c r="C98" i="1"/>
  <c r="F98" i="1"/>
  <c r="C82" i="1"/>
  <c r="F82" i="1"/>
  <c r="C142" i="1"/>
  <c r="F142" i="1"/>
  <c r="C108" i="1"/>
  <c r="F108" i="1"/>
  <c r="C139" i="1"/>
  <c r="F139" i="1"/>
  <c r="C154" i="1"/>
  <c r="F154" i="1"/>
  <c r="C152" i="1"/>
  <c r="F152" i="1"/>
  <c r="C65" i="1"/>
  <c r="F65" i="1"/>
  <c r="C136" i="1"/>
  <c r="F136" i="1"/>
  <c r="C70" i="1"/>
  <c r="F70" i="1"/>
  <c r="C157" i="1"/>
  <c r="F157" i="1"/>
  <c r="C109" i="1"/>
  <c r="F109" i="1"/>
  <c r="C95" i="1"/>
  <c r="F95" i="1"/>
  <c r="C94" i="1"/>
  <c r="F94" i="1"/>
  <c r="C88" i="1"/>
  <c r="F88" i="1"/>
  <c r="C127" i="1"/>
  <c r="F127" i="1"/>
  <c r="C78" i="1"/>
  <c r="F78" i="1"/>
  <c r="C64" i="1"/>
  <c r="F64" i="1"/>
  <c r="C151" i="1"/>
  <c r="F151" i="1"/>
  <c r="C133" i="1"/>
  <c r="F133" i="1"/>
  <c r="C134" i="1"/>
  <c r="F134" i="1"/>
  <c r="C111" i="1"/>
  <c r="F111" i="1"/>
  <c r="C90" i="1"/>
  <c r="F90" i="1"/>
  <c r="C159" i="1"/>
  <c r="F159" i="1"/>
  <c r="C115" i="1"/>
  <c r="F115" i="1"/>
  <c r="C74" i="1"/>
  <c r="F74" i="1"/>
  <c r="C169" i="1"/>
  <c r="F169" i="1"/>
  <c r="C123" i="1"/>
  <c r="F123" i="1"/>
  <c r="C144" i="1"/>
  <c r="F144" i="1"/>
  <c r="C130" i="1"/>
  <c r="F130" i="1"/>
  <c r="C128" i="1"/>
  <c r="F128" i="1"/>
  <c r="C102" i="1"/>
  <c r="F102" i="1"/>
  <c r="C162" i="1"/>
  <c r="F162" i="1"/>
  <c r="C147" i="1"/>
  <c r="F147" i="1"/>
  <c r="C170" i="1"/>
  <c r="F170" i="1"/>
  <c r="C79" i="1"/>
  <c r="F79" i="1"/>
  <c r="C73" i="1"/>
  <c r="F73" i="1"/>
  <c r="C121" i="1"/>
  <c r="F121" i="1"/>
  <c r="C75" i="1"/>
  <c r="F75" i="1"/>
  <c r="C63" i="1"/>
  <c r="F63" i="1"/>
  <c r="C66" i="1"/>
  <c r="F66" i="1"/>
  <c r="C149" i="1"/>
  <c r="F149" i="1"/>
  <c r="C119" i="1"/>
  <c r="F119" i="1"/>
  <c r="C80" i="1"/>
  <c r="F80" i="1"/>
  <c r="C93" i="1"/>
  <c r="F93" i="1"/>
  <c r="C148" i="1"/>
  <c r="F148" i="1"/>
  <c r="C103" i="1"/>
  <c r="F103" i="1"/>
  <c r="C120" i="1"/>
  <c r="F120" i="1"/>
  <c r="C146" i="1"/>
  <c r="F146" i="1"/>
  <c r="C158" i="1"/>
  <c r="F158" i="1"/>
  <c r="C122" i="1"/>
  <c r="F122" i="1"/>
  <c r="C167" i="1"/>
  <c r="F167" i="1"/>
  <c r="C99" i="1"/>
  <c r="F99" i="1"/>
  <c r="C81" i="1"/>
  <c r="F81" i="1"/>
  <c r="F7" i="1"/>
  <c r="T54" i="13"/>
  <c r="O54" i="13"/>
  <c r="S54" i="13"/>
  <c r="D54" i="13"/>
  <c r="K54" i="13"/>
  <c r="P54" i="13" s="1"/>
  <c r="G54" i="13"/>
  <c r="N54" i="13" s="1"/>
  <c r="V54" i="13"/>
  <c r="C54" i="13"/>
  <c r="J54" i="13" s="1"/>
  <c r="U54" i="13"/>
  <c r="T50" i="13"/>
  <c r="O50" i="13"/>
  <c r="S50" i="13"/>
  <c r="D50" i="13"/>
  <c r="V50" i="13"/>
  <c r="C50" i="13"/>
  <c r="J50" i="13" s="1"/>
  <c r="G50" i="13"/>
  <c r="N50" i="13" s="1"/>
  <c r="U50" i="13"/>
  <c r="K50" i="13"/>
  <c r="P50" i="13" s="1"/>
  <c r="T56" i="13"/>
  <c r="O56" i="13"/>
  <c r="S56" i="13"/>
  <c r="D56" i="13"/>
  <c r="U56" i="13"/>
  <c r="K56" i="13"/>
  <c r="P56" i="13" s="1"/>
  <c r="G56" i="13"/>
  <c r="N56" i="13" s="1"/>
  <c r="C56" i="13"/>
  <c r="V56" i="13"/>
  <c r="V39" i="13"/>
  <c r="C39" i="13"/>
  <c r="J39" i="13" s="1"/>
  <c r="U39" i="13"/>
  <c r="K39" i="13"/>
  <c r="P39" i="13" s="1"/>
  <c r="G39" i="13"/>
  <c r="N39" i="13" s="1"/>
  <c r="S39" i="13"/>
  <c r="T39" i="13"/>
  <c r="D39" i="13"/>
  <c r="O39" i="13"/>
  <c r="S64" i="13"/>
  <c r="N64" i="13"/>
  <c r="I64" i="13"/>
  <c r="C64" i="13"/>
  <c r="V64" i="13"/>
  <c r="Q64" i="13"/>
  <c r="M64" i="13"/>
  <c r="H64" i="13"/>
  <c r="P64" i="13"/>
  <c r="G64" i="13"/>
  <c r="K64" i="13"/>
  <c r="T64" i="13"/>
  <c r="O64" i="13"/>
  <c r="F64" i="13"/>
  <c r="U64" i="13"/>
  <c r="J64" i="13"/>
  <c r="T88" i="13"/>
  <c r="O88" i="13"/>
  <c r="J88" i="13"/>
  <c r="F88" i="13"/>
  <c r="S88" i="13"/>
  <c r="N88" i="13"/>
  <c r="I88" i="13"/>
  <c r="C88" i="13"/>
  <c r="V88" i="13"/>
  <c r="M88" i="13"/>
  <c r="U88" i="13"/>
  <c r="K88" i="13"/>
  <c r="Q88" i="13"/>
  <c r="P88" i="13"/>
  <c r="H88" i="13"/>
  <c r="G88" i="13"/>
  <c r="V89" i="13"/>
  <c r="S89" i="13"/>
  <c r="N89" i="13"/>
  <c r="I89" i="13"/>
  <c r="C89" i="13"/>
  <c r="Q89" i="13"/>
  <c r="M89" i="13"/>
  <c r="H89" i="13"/>
  <c r="U89" i="13"/>
  <c r="K89" i="13"/>
  <c r="T89" i="13"/>
  <c r="J89" i="13"/>
  <c r="P89" i="13"/>
  <c r="F89" i="13"/>
  <c r="O89" i="13"/>
  <c r="G89" i="13"/>
  <c r="V70" i="13"/>
  <c r="Q70" i="13"/>
  <c r="M70" i="13"/>
  <c r="H70" i="13"/>
  <c r="U70" i="13"/>
  <c r="P70" i="13"/>
  <c r="K70" i="13"/>
  <c r="G70" i="13"/>
  <c r="O70" i="13"/>
  <c r="F70" i="13"/>
  <c r="N70" i="13"/>
  <c r="C70" i="13"/>
  <c r="T70" i="13"/>
  <c r="I70" i="13"/>
  <c r="S70" i="13"/>
  <c r="J70" i="13"/>
  <c r="Q112" i="13"/>
  <c r="M112" i="13"/>
  <c r="F112" i="13"/>
  <c r="P112" i="13"/>
  <c r="J112" i="13"/>
  <c r="C112" i="13"/>
  <c r="O112" i="13"/>
  <c r="N112" i="13"/>
  <c r="H112" i="13"/>
  <c r="G112" i="13"/>
  <c r="S101" i="13"/>
  <c r="N101" i="13"/>
  <c r="I101" i="13"/>
  <c r="C101" i="13"/>
  <c r="V101" i="13"/>
  <c r="Q101" i="13"/>
  <c r="M101" i="13"/>
  <c r="H101" i="13"/>
  <c r="U101" i="13"/>
  <c r="K101" i="13"/>
  <c r="T101" i="13"/>
  <c r="J101" i="13"/>
  <c r="G101" i="13"/>
  <c r="F101" i="13"/>
  <c r="P101" i="13"/>
  <c r="O101" i="13"/>
  <c r="P115" i="13"/>
  <c r="J115" i="13"/>
  <c r="C115" i="13"/>
  <c r="O115" i="13"/>
  <c r="H115" i="13"/>
  <c r="N115" i="13"/>
  <c r="M115" i="13"/>
  <c r="G115" i="13"/>
  <c r="F115" i="13"/>
  <c r="Q115" i="13"/>
  <c r="N133" i="13"/>
  <c r="G133" i="13"/>
  <c r="Q133" i="13"/>
  <c r="M133" i="13"/>
  <c r="F133" i="13"/>
  <c r="P133" i="13"/>
  <c r="C133" i="13"/>
  <c r="O133" i="13"/>
  <c r="J133" i="13"/>
  <c r="H133" i="13"/>
  <c r="V94" i="13"/>
  <c r="Q94" i="13"/>
  <c r="M94" i="13"/>
  <c r="H94" i="13"/>
  <c r="U94" i="13"/>
  <c r="P94" i="13"/>
  <c r="K94" i="13"/>
  <c r="G94" i="13"/>
  <c r="T94" i="13"/>
  <c r="J94" i="13"/>
  <c r="S94" i="13"/>
  <c r="I94" i="13"/>
  <c r="O94" i="13"/>
  <c r="N94" i="13"/>
  <c r="C94" i="13"/>
  <c r="F94" i="13"/>
  <c r="O110" i="13"/>
  <c r="H110" i="13"/>
  <c r="N110" i="13"/>
  <c r="G110" i="13"/>
  <c r="M110" i="13"/>
  <c r="J110" i="13"/>
  <c r="Q110" i="13"/>
  <c r="P110" i="13"/>
  <c r="F110" i="13"/>
  <c r="C110" i="13"/>
  <c r="O126" i="13"/>
  <c r="H126" i="13"/>
  <c r="N126" i="13"/>
  <c r="G126" i="13"/>
  <c r="M126" i="13"/>
  <c r="J126" i="13"/>
  <c r="Q126" i="13"/>
  <c r="P126" i="13"/>
  <c r="F126" i="13"/>
  <c r="C126" i="13"/>
  <c r="N144" i="13"/>
  <c r="G144" i="13"/>
  <c r="O144" i="13"/>
  <c r="F144" i="13"/>
  <c r="M144" i="13"/>
  <c r="C144" i="13"/>
  <c r="Q144" i="13"/>
  <c r="P144" i="13"/>
  <c r="J144" i="13"/>
  <c r="H144" i="13"/>
  <c r="P139" i="13"/>
  <c r="J139" i="13"/>
  <c r="C139" i="13"/>
  <c r="O139" i="13"/>
  <c r="H139" i="13"/>
  <c r="N139" i="13"/>
  <c r="M139" i="13"/>
  <c r="Q139" i="13"/>
  <c r="G139" i="13"/>
  <c r="F139" i="13"/>
  <c r="N160" i="13"/>
  <c r="G160" i="13"/>
  <c r="Q160" i="13"/>
  <c r="M160" i="13"/>
  <c r="F160" i="13"/>
  <c r="P160" i="13"/>
  <c r="C160" i="13"/>
  <c r="O160" i="13"/>
  <c r="J160" i="13"/>
  <c r="H160" i="13"/>
  <c r="O138" i="13"/>
  <c r="H138" i="13"/>
  <c r="N138" i="13"/>
  <c r="G138" i="13"/>
  <c r="Q138" i="13"/>
  <c r="F138" i="13"/>
  <c r="P138" i="13"/>
  <c r="C138" i="13"/>
  <c r="M138" i="13"/>
  <c r="J138" i="13"/>
  <c r="Q163" i="13"/>
  <c r="M163" i="13"/>
  <c r="F163" i="13"/>
  <c r="P163" i="13"/>
  <c r="J163" i="13"/>
  <c r="C163" i="13"/>
  <c r="O163" i="13"/>
  <c r="N163" i="13"/>
  <c r="H163" i="13"/>
  <c r="G163" i="13"/>
  <c r="P170" i="13"/>
  <c r="J170" i="13"/>
  <c r="C170" i="13"/>
  <c r="O170" i="13"/>
  <c r="H170" i="13"/>
  <c r="G170" i="13"/>
  <c r="Q170" i="13"/>
  <c r="F170" i="13"/>
  <c r="N170" i="13"/>
  <c r="M170" i="13"/>
  <c r="O157" i="13"/>
  <c r="H157" i="13"/>
  <c r="P157" i="13"/>
  <c r="G157" i="13"/>
  <c r="N157" i="13"/>
  <c r="F157" i="13"/>
  <c r="M157" i="13"/>
  <c r="J157" i="13"/>
  <c r="C157" i="13"/>
  <c r="Q157" i="13"/>
  <c r="T60" i="13"/>
  <c r="O60" i="13"/>
  <c r="S60" i="13"/>
  <c r="D60" i="13"/>
  <c r="G60" i="13"/>
  <c r="N60" i="13" s="1"/>
  <c r="U60" i="13"/>
  <c r="K60" i="13"/>
  <c r="P60" i="13" s="1"/>
  <c r="V60" i="13"/>
  <c r="C60" i="13"/>
  <c r="J60" i="13" s="1"/>
  <c r="T44" i="13"/>
  <c r="O44" i="13"/>
  <c r="S44" i="13"/>
  <c r="D44" i="13"/>
  <c r="G44" i="13"/>
  <c r="N44" i="13" s="1"/>
  <c r="U44" i="13"/>
  <c r="V44" i="13"/>
  <c r="C44" i="13"/>
  <c r="J44" i="13" s="1"/>
  <c r="K44" i="13"/>
  <c r="P44" i="13" s="1"/>
  <c r="V23" i="13"/>
  <c r="C23" i="13"/>
  <c r="H23" i="13" s="1"/>
  <c r="U23" i="13"/>
  <c r="G23" i="13"/>
  <c r="N23" i="13" s="1"/>
  <c r="F23" i="13"/>
  <c r="M23" i="13" s="1"/>
  <c r="T23" i="13"/>
  <c r="D23" i="13"/>
  <c r="S23" i="13"/>
  <c r="V47" i="13"/>
  <c r="C47" i="13"/>
  <c r="J47" i="13" s="1"/>
  <c r="U47" i="13"/>
  <c r="K47" i="13"/>
  <c r="P47" i="13" s="1"/>
  <c r="G47" i="13"/>
  <c r="N47" i="13" s="1"/>
  <c r="T47" i="13"/>
  <c r="D47" i="13"/>
  <c r="S47" i="13"/>
  <c r="O47" i="13"/>
  <c r="U87" i="13"/>
  <c r="P87" i="13"/>
  <c r="K87" i="13"/>
  <c r="G87" i="13"/>
  <c r="T87" i="13"/>
  <c r="O87" i="13"/>
  <c r="J87" i="13"/>
  <c r="F87" i="13"/>
  <c r="N87" i="13"/>
  <c r="C87" i="13"/>
  <c r="V87" i="13"/>
  <c r="M87" i="13"/>
  <c r="S87" i="13"/>
  <c r="I87" i="13"/>
  <c r="H87" i="13"/>
  <c r="Q87" i="13"/>
  <c r="S73" i="13"/>
  <c r="N73" i="13"/>
  <c r="I73" i="13"/>
  <c r="C73" i="13"/>
  <c r="V73" i="13"/>
  <c r="Q73" i="13"/>
  <c r="M73" i="13"/>
  <c r="H73" i="13"/>
  <c r="U73" i="13"/>
  <c r="K73" i="13"/>
  <c r="T73" i="13"/>
  <c r="J73" i="13"/>
  <c r="P73" i="13"/>
  <c r="G73" i="13"/>
  <c r="F73" i="13"/>
  <c r="O73" i="13"/>
  <c r="N117" i="13"/>
  <c r="G117" i="13"/>
  <c r="Q117" i="13"/>
  <c r="M117" i="13"/>
  <c r="F117" i="13"/>
  <c r="P117" i="13"/>
  <c r="C117" i="13"/>
  <c r="O117" i="13"/>
  <c r="J117" i="13"/>
  <c r="H117" i="13"/>
  <c r="V86" i="13"/>
  <c r="Q86" i="13"/>
  <c r="M86" i="13"/>
  <c r="H86" i="13"/>
  <c r="U86" i="13"/>
  <c r="P86" i="13"/>
  <c r="K86" i="13"/>
  <c r="G86" i="13"/>
  <c r="O86" i="13"/>
  <c r="F86" i="13"/>
  <c r="N86" i="13"/>
  <c r="C86" i="13"/>
  <c r="T86" i="13"/>
  <c r="S86" i="13"/>
  <c r="J86" i="13"/>
  <c r="I86" i="13"/>
  <c r="Q140" i="13"/>
  <c r="M140" i="13"/>
  <c r="F140" i="13"/>
  <c r="P140" i="13"/>
  <c r="J140" i="13"/>
  <c r="C140" i="13"/>
  <c r="H140" i="13"/>
  <c r="G140" i="13"/>
  <c r="O140" i="13"/>
  <c r="N140" i="13"/>
  <c r="T46" i="13"/>
  <c r="O46" i="13"/>
  <c r="S46" i="13"/>
  <c r="D46" i="13"/>
  <c r="V46" i="13"/>
  <c r="U46" i="13"/>
  <c r="G46" i="13"/>
  <c r="N46" i="13" s="1"/>
  <c r="C46" i="13"/>
  <c r="J46" i="13" s="1"/>
  <c r="K46" i="13"/>
  <c r="P46" i="13" s="1"/>
  <c r="U75" i="13"/>
  <c r="P75" i="13"/>
  <c r="K75" i="13"/>
  <c r="G75" i="13"/>
  <c r="T75" i="13"/>
  <c r="O75" i="13"/>
  <c r="J75" i="13"/>
  <c r="F75" i="13"/>
  <c r="S75" i="13"/>
  <c r="I75" i="13"/>
  <c r="Q75" i="13"/>
  <c r="H75" i="13"/>
  <c r="N75" i="13"/>
  <c r="C75" i="13"/>
  <c r="M75" i="13"/>
  <c r="V75" i="13"/>
  <c r="T63" i="13"/>
  <c r="O63" i="13"/>
  <c r="J63" i="13"/>
  <c r="F63" i="13"/>
  <c r="S63" i="13"/>
  <c r="N63" i="13"/>
  <c r="I63" i="13"/>
  <c r="C63" i="13"/>
  <c r="Q63" i="13"/>
  <c r="H63" i="13"/>
  <c r="M63" i="13"/>
  <c r="U63" i="13"/>
  <c r="P63" i="13"/>
  <c r="G63" i="13"/>
  <c r="V63" i="13"/>
  <c r="K63" i="13"/>
  <c r="T26" i="13"/>
  <c r="F26" i="13"/>
  <c r="M26" i="13" s="1"/>
  <c r="S26" i="13"/>
  <c r="D26" i="13"/>
  <c r="V26" i="13"/>
  <c r="C26" i="13"/>
  <c r="H26" i="13" s="1"/>
  <c r="U26" i="13"/>
  <c r="G26" i="13"/>
  <c r="N26" i="13" s="1"/>
  <c r="T58" i="13"/>
  <c r="O58" i="13"/>
  <c r="S58" i="13"/>
  <c r="D58" i="13"/>
  <c r="V58" i="13"/>
  <c r="C58" i="13"/>
  <c r="J58" i="13" s="1"/>
  <c r="U58" i="13"/>
  <c r="K58" i="13"/>
  <c r="P58" i="13" s="1"/>
  <c r="G58" i="13"/>
  <c r="N58" i="13" s="1"/>
  <c r="N156" i="13"/>
  <c r="G156" i="13"/>
  <c r="P156" i="13"/>
  <c r="H156" i="13"/>
  <c r="O156" i="13"/>
  <c r="F156" i="13"/>
  <c r="M156" i="13"/>
  <c r="J156" i="13"/>
  <c r="Q156" i="13"/>
  <c r="C156" i="13"/>
  <c r="T20" i="13"/>
  <c r="F20" i="13"/>
  <c r="M20" i="13" s="1"/>
  <c r="S20" i="13"/>
  <c r="D20" i="13"/>
  <c r="G20" i="13"/>
  <c r="N20" i="13" s="1"/>
  <c r="U20" i="13"/>
  <c r="V20" i="13"/>
  <c r="C20" i="13"/>
  <c r="H20" i="13" s="1"/>
  <c r="T52" i="13"/>
  <c r="O52" i="13"/>
  <c r="S52" i="13"/>
  <c r="D52" i="13"/>
  <c r="G52" i="13"/>
  <c r="N52" i="13" s="1"/>
  <c r="K52" i="13"/>
  <c r="P52" i="13" s="1"/>
  <c r="V52" i="13"/>
  <c r="C52" i="13"/>
  <c r="J52" i="13" s="1"/>
  <c r="U52" i="13"/>
  <c r="U9" i="13"/>
  <c r="G9" i="13"/>
  <c r="N9" i="13" s="1"/>
  <c r="T9" i="13"/>
  <c r="S9" i="13"/>
  <c r="D9" i="13"/>
  <c r="V9" i="13"/>
  <c r="C9" i="13"/>
  <c r="J9" i="13" s="1"/>
  <c r="T32" i="13"/>
  <c r="S32" i="13"/>
  <c r="D32" i="13"/>
  <c r="U32" i="13"/>
  <c r="G32" i="13"/>
  <c r="N32" i="13" s="1"/>
  <c r="C32" i="13"/>
  <c r="H32" i="13" s="1"/>
  <c r="V32" i="13"/>
  <c r="T67" i="13"/>
  <c r="O67" i="13"/>
  <c r="J67" i="13"/>
  <c r="F67" i="13"/>
  <c r="S67" i="13"/>
  <c r="N67" i="13"/>
  <c r="I67" i="13"/>
  <c r="C67" i="13"/>
  <c r="V67" i="13"/>
  <c r="M67" i="13"/>
  <c r="H67" i="13"/>
  <c r="P67" i="13"/>
  <c r="U67" i="13"/>
  <c r="K67" i="13"/>
  <c r="Q67" i="13"/>
  <c r="G67" i="13"/>
  <c r="V17" i="13"/>
  <c r="C17" i="13"/>
  <c r="J17" i="13" s="1"/>
  <c r="U17" i="13"/>
  <c r="G17" i="13"/>
  <c r="N17" i="13" s="1"/>
  <c r="T17" i="13"/>
  <c r="D17" i="13"/>
  <c r="S17" i="13"/>
  <c r="V25" i="13"/>
  <c r="C25" i="13"/>
  <c r="H25" i="13" s="1"/>
  <c r="U25" i="13"/>
  <c r="G25" i="13"/>
  <c r="N25" i="13" s="1"/>
  <c r="T25" i="13"/>
  <c r="D25" i="13"/>
  <c r="F25" i="13"/>
  <c r="M25" i="13" s="1"/>
  <c r="S25" i="13"/>
  <c r="V33" i="13"/>
  <c r="C33" i="13"/>
  <c r="H33" i="13" s="1"/>
  <c r="U33" i="13"/>
  <c r="G33" i="13"/>
  <c r="N33" i="13" s="1"/>
  <c r="T33" i="13"/>
  <c r="D33" i="13"/>
  <c r="S33" i="13"/>
  <c r="V41" i="13"/>
  <c r="C41" i="13"/>
  <c r="F41" i="13" s="1"/>
  <c r="U41" i="13"/>
  <c r="K41" i="13"/>
  <c r="P41" i="13" s="1"/>
  <c r="G41" i="13"/>
  <c r="N41" i="13" s="1"/>
  <c r="O41" i="13"/>
  <c r="T41" i="13"/>
  <c r="D41" i="13"/>
  <c r="S41" i="13"/>
  <c r="V49" i="13"/>
  <c r="C49" i="13"/>
  <c r="J49" i="13" s="1"/>
  <c r="U49" i="13"/>
  <c r="K49" i="13"/>
  <c r="P49" i="13" s="1"/>
  <c r="G49" i="13"/>
  <c r="N49" i="13" s="1"/>
  <c r="O49" i="13"/>
  <c r="T49" i="13"/>
  <c r="D49" i="13"/>
  <c r="S49" i="13"/>
  <c r="V57" i="13"/>
  <c r="C57" i="13"/>
  <c r="F57" i="13" s="1"/>
  <c r="U57" i="13"/>
  <c r="K57" i="13"/>
  <c r="P57" i="13" s="1"/>
  <c r="G57" i="13"/>
  <c r="N57" i="13" s="1"/>
  <c r="O57" i="13"/>
  <c r="S57" i="13"/>
  <c r="T57" i="13"/>
  <c r="D57" i="13"/>
  <c r="S68" i="13"/>
  <c r="N68" i="13"/>
  <c r="I68" i="13"/>
  <c r="C68" i="13"/>
  <c r="V68" i="13"/>
  <c r="Q68" i="13"/>
  <c r="M68" i="13"/>
  <c r="H68" i="13"/>
  <c r="U68" i="13"/>
  <c r="K68" i="13"/>
  <c r="G68" i="13"/>
  <c r="O68" i="13"/>
  <c r="T68" i="13"/>
  <c r="J68" i="13"/>
  <c r="P68" i="13"/>
  <c r="F68" i="13"/>
  <c r="N105" i="13"/>
  <c r="G105" i="13"/>
  <c r="Q105" i="13"/>
  <c r="M105" i="13"/>
  <c r="F105" i="13"/>
  <c r="J105" i="13"/>
  <c r="H105" i="13"/>
  <c r="C105" i="13"/>
  <c r="P105" i="13"/>
  <c r="O105" i="13"/>
  <c r="V69" i="13"/>
  <c r="Q69" i="13"/>
  <c r="S69" i="13"/>
  <c r="M69" i="13"/>
  <c r="H69" i="13"/>
  <c r="P69" i="13"/>
  <c r="K69" i="13"/>
  <c r="G69" i="13"/>
  <c r="U69" i="13"/>
  <c r="J69" i="13"/>
  <c r="O69" i="13"/>
  <c r="F69" i="13"/>
  <c r="C69" i="13"/>
  <c r="T69" i="13"/>
  <c r="I69" i="13"/>
  <c r="N69" i="13"/>
  <c r="Q108" i="13"/>
  <c r="M108" i="13"/>
  <c r="F108" i="13"/>
  <c r="P108" i="13"/>
  <c r="J108" i="13"/>
  <c r="C108" i="13"/>
  <c r="H108" i="13"/>
  <c r="G108" i="13"/>
  <c r="O108" i="13"/>
  <c r="N108" i="13"/>
  <c r="S77" i="13"/>
  <c r="N77" i="13"/>
  <c r="I77" i="13"/>
  <c r="C77" i="13"/>
  <c r="V77" i="13"/>
  <c r="Q77" i="13"/>
  <c r="M77" i="13"/>
  <c r="H77" i="13"/>
  <c r="P77" i="13"/>
  <c r="G77" i="13"/>
  <c r="O77" i="13"/>
  <c r="F77" i="13"/>
  <c r="K77" i="13"/>
  <c r="J77" i="13"/>
  <c r="U77" i="13"/>
  <c r="T77" i="13"/>
  <c r="U91" i="13"/>
  <c r="P91" i="13"/>
  <c r="K91" i="13"/>
  <c r="G91" i="13"/>
  <c r="T91" i="13"/>
  <c r="O91" i="13"/>
  <c r="J91" i="13"/>
  <c r="F91" i="13"/>
  <c r="N91" i="13"/>
  <c r="C91" i="13"/>
  <c r="V91" i="13"/>
  <c r="M91" i="13"/>
  <c r="S91" i="13"/>
  <c r="Q91" i="13"/>
  <c r="I91" i="13"/>
  <c r="H91" i="13"/>
  <c r="N125" i="13"/>
  <c r="G125" i="13"/>
  <c r="Q125" i="13"/>
  <c r="M125" i="13"/>
  <c r="F125" i="13"/>
  <c r="P125" i="13"/>
  <c r="C125" i="13"/>
  <c r="O125" i="13"/>
  <c r="J125" i="13"/>
  <c r="H125" i="13"/>
  <c r="V74" i="13"/>
  <c r="Q74" i="13"/>
  <c r="M74" i="13"/>
  <c r="H74" i="13"/>
  <c r="U74" i="13"/>
  <c r="P74" i="13"/>
  <c r="K74" i="13"/>
  <c r="G74" i="13"/>
  <c r="T74" i="13"/>
  <c r="J74" i="13"/>
  <c r="S74" i="13"/>
  <c r="I74" i="13"/>
  <c r="O74" i="13"/>
  <c r="F74" i="13"/>
  <c r="C74" i="13"/>
  <c r="N74" i="13"/>
  <c r="T92" i="13"/>
  <c r="O92" i="13"/>
  <c r="J92" i="13"/>
  <c r="F92" i="13"/>
  <c r="S92" i="13"/>
  <c r="N92" i="13"/>
  <c r="I92" i="13"/>
  <c r="C92" i="13"/>
  <c r="V92" i="13"/>
  <c r="M92" i="13"/>
  <c r="U92" i="13"/>
  <c r="K92" i="13"/>
  <c r="Q92" i="13"/>
  <c r="P92" i="13"/>
  <c r="G92" i="13"/>
  <c r="H92" i="13"/>
  <c r="Q120" i="13"/>
  <c r="M120" i="13"/>
  <c r="F120" i="13"/>
  <c r="P120" i="13"/>
  <c r="J120" i="13"/>
  <c r="C120" i="13"/>
  <c r="O120" i="13"/>
  <c r="N120" i="13"/>
  <c r="H120" i="13"/>
  <c r="G120" i="13"/>
  <c r="Q159" i="13"/>
  <c r="M159" i="13"/>
  <c r="F159" i="13"/>
  <c r="P159" i="13"/>
  <c r="J159" i="13"/>
  <c r="C159" i="13"/>
  <c r="H159" i="13"/>
  <c r="G159" i="13"/>
  <c r="O159" i="13"/>
  <c r="N159" i="13"/>
  <c r="P103" i="13"/>
  <c r="J103" i="13"/>
  <c r="C103" i="13"/>
  <c r="O103" i="13"/>
  <c r="H103" i="13"/>
  <c r="G103" i="13"/>
  <c r="Q103" i="13"/>
  <c r="F103" i="13"/>
  <c r="N103" i="13"/>
  <c r="M103" i="13"/>
  <c r="P119" i="13"/>
  <c r="J119" i="13"/>
  <c r="C119" i="13"/>
  <c r="O119" i="13"/>
  <c r="H119" i="13"/>
  <c r="G119" i="13"/>
  <c r="Q119" i="13"/>
  <c r="F119" i="13"/>
  <c r="N119" i="13"/>
  <c r="M119" i="13"/>
  <c r="O141" i="13"/>
  <c r="H141" i="13"/>
  <c r="P141" i="13"/>
  <c r="G141" i="13"/>
  <c r="N141" i="13"/>
  <c r="F141" i="13"/>
  <c r="C141" i="13"/>
  <c r="Q141" i="13"/>
  <c r="M141" i="13"/>
  <c r="J141" i="13"/>
  <c r="V98" i="13"/>
  <c r="Q98" i="13"/>
  <c r="M98" i="13"/>
  <c r="H98" i="13"/>
  <c r="U98" i="13"/>
  <c r="P98" i="13"/>
  <c r="K98" i="13"/>
  <c r="G98" i="13"/>
  <c r="O98" i="13"/>
  <c r="F98" i="13"/>
  <c r="N98" i="13"/>
  <c r="C98" i="13"/>
  <c r="J98" i="13"/>
  <c r="I98" i="13"/>
  <c r="T98" i="13"/>
  <c r="S98" i="13"/>
  <c r="O114" i="13"/>
  <c r="H114" i="13"/>
  <c r="N114" i="13"/>
  <c r="G114" i="13"/>
  <c r="Q114" i="13"/>
  <c r="F114" i="13"/>
  <c r="P114" i="13"/>
  <c r="C114" i="13"/>
  <c r="M114" i="13"/>
  <c r="J114" i="13"/>
  <c r="Q136" i="13"/>
  <c r="M136" i="13"/>
  <c r="F136" i="13"/>
  <c r="P136" i="13"/>
  <c r="J136" i="13"/>
  <c r="C136" i="13"/>
  <c r="O136" i="13"/>
  <c r="N136" i="13"/>
  <c r="H136" i="13"/>
  <c r="G136" i="13"/>
  <c r="Q167" i="13"/>
  <c r="M167" i="13"/>
  <c r="F167" i="13"/>
  <c r="P167" i="13"/>
  <c r="J167" i="13"/>
  <c r="C167" i="13"/>
  <c r="H167" i="13"/>
  <c r="G167" i="13"/>
  <c r="O167" i="13"/>
  <c r="N167" i="13"/>
  <c r="P146" i="13"/>
  <c r="J146" i="13"/>
  <c r="C146" i="13"/>
  <c r="N146" i="13"/>
  <c r="F146" i="13"/>
  <c r="M146" i="13"/>
  <c r="Q146" i="13"/>
  <c r="O146" i="13"/>
  <c r="H146" i="13"/>
  <c r="G146" i="13"/>
  <c r="N168" i="13"/>
  <c r="G168" i="13"/>
  <c r="Q168" i="13"/>
  <c r="M168" i="13"/>
  <c r="F168" i="13"/>
  <c r="P168" i="13"/>
  <c r="C168" i="13"/>
  <c r="O168" i="13"/>
  <c r="J168" i="13"/>
  <c r="H168" i="13"/>
  <c r="P150" i="13"/>
  <c r="J150" i="13"/>
  <c r="C150" i="13"/>
  <c r="M150" i="13"/>
  <c r="Q150" i="13"/>
  <c r="H150" i="13"/>
  <c r="O150" i="13"/>
  <c r="N150" i="13"/>
  <c r="G150" i="13"/>
  <c r="F150" i="13"/>
  <c r="Q171" i="13"/>
  <c r="M171" i="13"/>
  <c r="F171" i="13"/>
  <c r="P171" i="13"/>
  <c r="J171" i="13"/>
  <c r="C171" i="13"/>
  <c r="O171" i="13"/>
  <c r="N171" i="13"/>
  <c r="H171" i="13"/>
  <c r="G171" i="13"/>
  <c r="O145" i="13"/>
  <c r="H145" i="13"/>
  <c r="N145" i="13"/>
  <c r="F145" i="13"/>
  <c r="M145" i="13"/>
  <c r="C145" i="13"/>
  <c r="Q145" i="13"/>
  <c r="P145" i="13"/>
  <c r="J145" i="13"/>
  <c r="G145" i="13"/>
  <c r="O161" i="13"/>
  <c r="H161" i="13"/>
  <c r="N161" i="13"/>
  <c r="G161" i="13"/>
  <c r="M161" i="13"/>
  <c r="J161" i="13"/>
  <c r="F161" i="13"/>
  <c r="C161" i="13"/>
  <c r="Q161" i="13"/>
  <c r="P161" i="13"/>
  <c r="T14" i="13"/>
  <c r="S14" i="13"/>
  <c r="D14" i="13"/>
  <c r="V14" i="13"/>
  <c r="G14" i="13"/>
  <c r="N14" i="13" s="1"/>
  <c r="C14" i="13"/>
  <c r="F14" i="13" s="1"/>
  <c r="U14" i="13"/>
  <c r="U95" i="13"/>
  <c r="P95" i="13"/>
  <c r="K95" i="13"/>
  <c r="G95" i="13"/>
  <c r="T95" i="13"/>
  <c r="O95" i="13"/>
  <c r="J95" i="13"/>
  <c r="F95" i="13"/>
  <c r="S95" i="13"/>
  <c r="I95" i="13"/>
  <c r="Q95" i="13"/>
  <c r="H95" i="13"/>
  <c r="N95" i="13"/>
  <c r="M95" i="13"/>
  <c r="C95" i="13"/>
  <c r="V95" i="13"/>
  <c r="S10" i="13"/>
  <c r="D10" i="13"/>
  <c r="U10" i="13"/>
  <c r="G10" i="13"/>
  <c r="N10" i="13" s="1"/>
  <c r="V10" i="13"/>
  <c r="C10" i="13"/>
  <c r="I10" i="13" s="1"/>
  <c r="T10" i="13"/>
  <c r="U7" i="13"/>
  <c r="G7" i="13"/>
  <c r="N7" i="13" s="1"/>
  <c r="T7" i="13"/>
  <c r="S7" i="13"/>
  <c r="D7" i="13"/>
  <c r="V7" i="13"/>
  <c r="C7" i="13"/>
  <c r="J7" i="13" s="1"/>
  <c r="V31" i="13"/>
  <c r="C31" i="13"/>
  <c r="H31" i="13" s="1"/>
  <c r="U31" i="13"/>
  <c r="G31" i="13"/>
  <c r="N31" i="13" s="1"/>
  <c r="T31" i="13"/>
  <c r="D31" i="13"/>
  <c r="S31" i="13"/>
  <c r="V65" i="13"/>
  <c r="Q65" i="13"/>
  <c r="M65" i="13"/>
  <c r="H65" i="13"/>
  <c r="U65" i="13"/>
  <c r="P65" i="13"/>
  <c r="K65" i="13"/>
  <c r="G65" i="13"/>
  <c r="O65" i="13"/>
  <c r="F65" i="13"/>
  <c r="J65" i="13"/>
  <c r="S65" i="13"/>
  <c r="N65" i="13"/>
  <c r="C65" i="13"/>
  <c r="T65" i="13"/>
  <c r="I65" i="13"/>
  <c r="T38" i="13"/>
  <c r="O38" i="13"/>
  <c r="S38" i="13"/>
  <c r="D38" i="13"/>
  <c r="V38" i="13"/>
  <c r="C38" i="13"/>
  <c r="G38" i="13"/>
  <c r="N38" i="13" s="1"/>
  <c r="K38" i="13"/>
  <c r="P38" i="13" s="1"/>
  <c r="U38" i="13"/>
  <c r="N113" i="13"/>
  <c r="G113" i="13"/>
  <c r="Q113" i="13"/>
  <c r="M113" i="13"/>
  <c r="F113" i="13"/>
  <c r="J113" i="13"/>
  <c r="H113" i="13"/>
  <c r="P113" i="13"/>
  <c r="O113" i="13"/>
  <c r="C113" i="13"/>
  <c r="T76" i="13"/>
  <c r="O76" i="13"/>
  <c r="J76" i="13"/>
  <c r="F76" i="13"/>
  <c r="S76" i="13"/>
  <c r="N76" i="13"/>
  <c r="I76" i="13"/>
  <c r="C76" i="13"/>
  <c r="Q76" i="13"/>
  <c r="H76" i="13"/>
  <c r="P76" i="13"/>
  <c r="G76" i="13"/>
  <c r="M76" i="13"/>
  <c r="V76" i="13"/>
  <c r="U76" i="13"/>
  <c r="K76" i="13"/>
  <c r="T34" i="13"/>
  <c r="S34" i="13"/>
  <c r="D34" i="13"/>
  <c r="V34" i="13"/>
  <c r="C34" i="13"/>
  <c r="H34" i="13" s="1"/>
  <c r="U34" i="13"/>
  <c r="G34" i="13"/>
  <c r="N34" i="13" s="1"/>
  <c r="U66" i="13"/>
  <c r="P66" i="13"/>
  <c r="K66" i="13"/>
  <c r="G66" i="13"/>
  <c r="T66" i="13"/>
  <c r="O66" i="13"/>
  <c r="J66" i="13"/>
  <c r="F66" i="13"/>
  <c r="N66" i="13"/>
  <c r="C66" i="13"/>
  <c r="I66" i="13"/>
  <c r="Q66" i="13"/>
  <c r="V66" i="13"/>
  <c r="M66" i="13"/>
  <c r="S66" i="13"/>
  <c r="H66" i="13"/>
  <c r="U62" i="13"/>
  <c r="P62" i="13"/>
  <c r="K62" i="13"/>
  <c r="G62" i="13"/>
  <c r="T62" i="13"/>
  <c r="O62" i="13"/>
  <c r="J62" i="13"/>
  <c r="F62" i="13"/>
  <c r="S62" i="13"/>
  <c r="I62" i="13"/>
  <c r="N62" i="13"/>
  <c r="C62" i="13"/>
  <c r="V62" i="13"/>
  <c r="Q62" i="13"/>
  <c r="M62" i="13"/>
  <c r="T28" i="13"/>
  <c r="S28" i="13"/>
  <c r="D28" i="13"/>
  <c r="G28" i="13"/>
  <c r="N28" i="13" s="1"/>
  <c r="U28" i="13"/>
  <c r="V28" i="13"/>
  <c r="C28" i="13"/>
  <c r="H28" i="13" s="1"/>
  <c r="T96" i="13"/>
  <c r="O96" i="13"/>
  <c r="J96" i="13"/>
  <c r="F96" i="13"/>
  <c r="S96" i="13"/>
  <c r="N96" i="13"/>
  <c r="I96" i="13"/>
  <c r="C96" i="13"/>
  <c r="Q96" i="13"/>
  <c r="H96" i="13"/>
  <c r="P96" i="13"/>
  <c r="G96" i="13"/>
  <c r="M96" i="13"/>
  <c r="K96" i="13"/>
  <c r="V96" i="13"/>
  <c r="U96" i="13"/>
  <c r="U11" i="13"/>
  <c r="G11" i="13"/>
  <c r="N11" i="13" s="1"/>
  <c r="S11" i="13"/>
  <c r="D11" i="13"/>
  <c r="T11" i="13"/>
  <c r="V11" i="13"/>
  <c r="C11" i="13"/>
  <c r="I11" i="13" s="1"/>
  <c r="T40" i="13"/>
  <c r="O40" i="13"/>
  <c r="S40" i="13"/>
  <c r="D40" i="13"/>
  <c r="U40" i="13"/>
  <c r="K40" i="13"/>
  <c r="P40" i="13" s="1"/>
  <c r="G40" i="13"/>
  <c r="N40" i="13" s="1"/>
  <c r="C40" i="13"/>
  <c r="J40" i="13" s="1"/>
  <c r="V40" i="13"/>
  <c r="T84" i="13"/>
  <c r="O84" i="13"/>
  <c r="J84" i="13"/>
  <c r="F84" i="13"/>
  <c r="S84" i="13"/>
  <c r="N84" i="13"/>
  <c r="I84" i="13"/>
  <c r="C84" i="13"/>
  <c r="Q84" i="13"/>
  <c r="H84" i="13"/>
  <c r="P84" i="13"/>
  <c r="G84" i="13"/>
  <c r="V84" i="13"/>
  <c r="M84" i="13"/>
  <c r="K84" i="13"/>
  <c r="U84" i="13"/>
  <c r="V19" i="13"/>
  <c r="C19" i="13"/>
  <c r="H19" i="13" s="1"/>
  <c r="U19" i="13"/>
  <c r="G19" i="13"/>
  <c r="N19" i="13" s="1"/>
  <c r="S19" i="13"/>
  <c r="D19" i="13"/>
  <c r="T19" i="13"/>
  <c r="V27" i="13"/>
  <c r="C27" i="13"/>
  <c r="H27" i="13" s="1"/>
  <c r="U27" i="13"/>
  <c r="G27" i="13"/>
  <c r="N27" i="13" s="1"/>
  <c r="S27" i="13"/>
  <c r="D27" i="13"/>
  <c r="T27" i="13"/>
  <c r="V35" i="13"/>
  <c r="C35" i="13"/>
  <c r="U35" i="13"/>
  <c r="K35" i="13"/>
  <c r="P35" i="13" s="1"/>
  <c r="G35" i="13"/>
  <c r="N35" i="13" s="1"/>
  <c r="S35" i="13"/>
  <c r="O35" i="13"/>
  <c r="T35" i="13"/>
  <c r="D35" i="13"/>
  <c r="V43" i="13"/>
  <c r="C43" i="13"/>
  <c r="U43" i="13"/>
  <c r="K43" i="13"/>
  <c r="P43" i="13" s="1"/>
  <c r="G43" i="13"/>
  <c r="N43" i="13" s="1"/>
  <c r="S43" i="13"/>
  <c r="O43" i="13"/>
  <c r="D43" i="13"/>
  <c r="T43" i="13"/>
  <c r="V51" i="13"/>
  <c r="C51" i="13"/>
  <c r="J51" i="13" s="1"/>
  <c r="U51" i="13"/>
  <c r="K51" i="13"/>
  <c r="P51" i="13" s="1"/>
  <c r="G51" i="13"/>
  <c r="N51" i="13" s="1"/>
  <c r="S51" i="13"/>
  <c r="D51" i="13"/>
  <c r="O51" i="13"/>
  <c r="T51" i="13"/>
  <c r="V59" i="13"/>
  <c r="C59" i="13"/>
  <c r="F59" i="13" s="1"/>
  <c r="U59" i="13"/>
  <c r="K59" i="13"/>
  <c r="P59" i="13" s="1"/>
  <c r="G59" i="13"/>
  <c r="N59" i="13" s="1"/>
  <c r="S59" i="13"/>
  <c r="T59" i="13"/>
  <c r="D59" i="13"/>
  <c r="O59" i="13"/>
  <c r="U71" i="13"/>
  <c r="P71" i="13"/>
  <c r="K71" i="13"/>
  <c r="G71" i="13"/>
  <c r="T71" i="13"/>
  <c r="O71" i="13"/>
  <c r="J71" i="13"/>
  <c r="F71" i="13"/>
  <c r="N71" i="13"/>
  <c r="C71" i="13"/>
  <c r="V71" i="13"/>
  <c r="M71" i="13"/>
  <c r="S71" i="13"/>
  <c r="I71" i="13"/>
  <c r="H71" i="13"/>
  <c r="Q71" i="13"/>
  <c r="N121" i="13"/>
  <c r="G121" i="13"/>
  <c r="Q121" i="13"/>
  <c r="M121" i="13"/>
  <c r="F121" i="13"/>
  <c r="J121" i="13"/>
  <c r="H121" i="13"/>
  <c r="C121" i="13"/>
  <c r="O121" i="13"/>
  <c r="P121" i="13"/>
  <c r="T72" i="13"/>
  <c r="O72" i="13"/>
  <c r="J72" i="13"/>
  <c r="F72" i="13"/>
  <c r="S72" i="13"/>
  <c r="N72" i="13"/>
  <c r="I72" i="13"/>
  <c r="C72" i="13"/>
  <c r="V72" i="13"/>
  <c r="M72" i="13"/>
  <c r="U72" i="13"/>
  <c r="K72" i="13"/>
  <c r="Q72" i="13"/>
  <c r="H72" i="13"/>
  <c r="G72" i="13"/>
  <c r="P72" i="13"/>
  <c r="Q124" i="13"/>
  <c r="M124" i="13"/>
  <c r="F124" i="13"/>
  <c r="P124" i="13"/>
  <c r="J124" i="13"/>
  <c r="C124" i="13"/>
  <c r="H124" i="13"/>
  <c r="G124" i="13"/>
  <c r="N124" i="13"/>
  <c r="O124" i="13"/>
  <c r="S81" i="13"/>
  <c r="N81" i="13"/>
  <c r="I81" i="13"/>
  <c r="C81" i="13"/>
  <c r="V81" i="13"/>
  <c r="Q81" i="13"/>
  <c r="M81" i="13"/>
  <c r="H81" i="13"/>
  <c r="U81" i="13"/>
  <c r="K81" i="13"/>
  <c r="T81" i="13"/>
  <c r="J81" i="13"/>
  <c r="G81" i="13"/>
  <c r="F81" i="13"/>
  <c r="P81" i="13"/>
  <c r="O81" i="13"/>
  <c r="U99" i="13"/>
  <c r="P99" i="13"/>
  <c r="K99" i="13"/>
  <c r="G99" i="13"/>
  <c r="T99" i="13"/>
  <c r="O99" i="13"/>
  <c r="J99" i="13"/>
  <c r="F99" i="13"/>
  <c r="N99" i="13"/>
  <c r="C99" i="13"/>
  <c r="V99" i="13"/>
  <c r="M99" i="13"/>
  <c r="I99" i="13"/>
  <c r="H99" i="13"/>
  <c r="S99" i="13"/>
  <c r="Q99" i="13"/>
  <c r="N137" i="13"/>
  <c r="G137" i="13"/>
  <c r="Q137" i="13"/>
  <c r="M137" i="13"/>
  <c r="F137" i="13"/>
  <c r="J137" i="13"/>
  <c r="H137" i="13"/>
  <c r="C137" i="13"/>
  <c r="O137" i="13"/>
  <c r="P137" i="13"/>
  <c r="V78" i="13"/>
  <c r="Q78" i="13"/>
  <c r="M78" i="13"/>
  <c r="H78" i="13"/>
  <c r="U78" i="13"/>
  <c r="P78" i="13"/>
  <c r="K78" i="13"/>
  <c r="G78" i="13"/>
  <c r="O78" i="13"/>
  <c r="F78" i="13"/>
  <c r="N78" i="13"/>
  <c r="C78" i="13"/>
  <c r="J78" i="13"/>
  <c r="T78" i="13"/>
  <c r="S78" i="13"/>
  <c r="I78" i="13"/>
  <c r="T100" i="13"/>
  <c r="O100" i="13"/>
  <c r="J100" i="13"/>
  <c r="F100" i="13"/>
  <c r="S100" i="13"/>
  <c r="N100" i="13"/>
  <c r="I100" i="13"/>
  <c r="C100" i="13"/>
  <c r="V100" i="13"/>
  <c r="M100" i="13"/>
  <c r="U100" i="13"/>
  <c r="K100" i="13"/>
  <c r="H100" i="13"/>
  <c r="G100" i="13"/>
  <c r="Q100" i="13"/>
  <c r="P100" i="13"/>
  <c r="Q128" i="13"/>
  <c r="M128" i="13"/>
  <c r="F128" i="13"/>
  <c r="O128" i="13"/>
  <c r="G128" i="13"/>
  <c r="N128" i="13"/>
  <c r="C128" i="13"/>
  <c r="P128" i="13"/>
  <c r="J128" i="13"/>
  <c r="H128" i="13"/>
  <c r="S93" i="13"/>
  <c r="N93" i="13"/>
  <c r="I93" i="13"/>
  <c r="C93" i="13"/>
  <c r="V93" i="13"/>
  <c r="Q93" i="13"/>
  <c r="M93" i="13"/>
  <c r="H93" i="13"/>
  <c r="U93" i="13"/>
  <c r="K93" i="13"/>
  <c r="T93" i="13"/>
  <c r="J93" i="13"/>
  <c r="P93" i="13"/>
  <c r="O93" i="13"/>
  <c r="G93" i="13"/>
  <c r="F93" i="13"/>
  <c r="P107" i="13"/>
  <c r="J107" i="13"/>
  <c r="C107" i="13"/>
  <c r="O107" i="13"/>
  <c r="H107" i="13"/>
  <c r="N107" i="13"/>
  <c r="M107" i="13"/>
  <c r="Q107" i="13"/>
  <c r="G107" i="13"/>
  <c r="F107" i="13"/>
  <c r="P123" i="13"/>
  <c r="J123" i="13"/>
  <c r="C123" i="13"/>
  <c r="O123" i="13"/>
  <c r="H123" i="13"/>
  <c r="N123" i="13"/>
  <c r="M123" i="13"/>
  <c r="Q123" i="13"/>
  <c r="G123" i="13"/>
  <c r="F123" i="13"/>
  <c r="N164" i="13"/>
  <c r="G164" i="13"/>
  <c r="Q164" i="13"/>
  <c r="M164" i="13"/>
  <c r="F164" i="13"/>
  <c r="J164" i="13"/>
  <c r="H164" i="13"/>
  <c r="C164" i="13"/>
  <c r="P164" i="13"/>
  <c r="O164" i="13"/>
  <c r="O102" i="13"/>
  <c r="H102" i="13"/>
  <c r="N102" i="13"/>
  <c r="G102" i="13"/>
  <c r="M102" i="13"/>
  <c r="J102" i="13"/>
  <c r="F102" i="13"/>
  <c r="C102" i="13"/>
  <c r="Q102" i="13"/>
  <c r="P102" i="13"/>
  <c r="O118" i="13"/>
  <c r="H118" i="13"/>
  <c r="N118" i="13"/>
  <c r="G118" i="13"/>
  <c r="M118" i="13"/>
  <c r="J118" i="13"/>
  <c r="F118" i="13"/>
  <c r="C118" i="13"/>
  <c r="Q118" i="13"/>
  <c r="P118" i="13"/>
  <c r="P142" i="13"/>
  <c r="J142" i="13"/>
  <c r="C142" i="13"/>
  <c r="O142" i="13"/>
  <c r="G142" i="13"/>
  <c r="N142" i="13"/>
  <c r="F142" i="13"/>
  <c r="Q142" i="13"/>
  <c r="M142" i="13"/>
  <c r="H142" i="13"/>
  <c r="P131" i="13"/>
  <c r="J131" i="13"/>
  <c r="C131" i="13"/>
  <c r="O131" i="13"/>
  <c r="H131" i="13"/>
  <c r="N131" i="13"/>
  <c r="M131" i="13"/>
  <c r="G131" i="13"/>
  <c r="F131" i="13"/>
  <c r="Q131" i="13"/>
  <c r="Q147" i="13"/>
  <c r="M147" i="13"/>
  <c r="F147" i="13"/>
  <c r="N147" i="13"/>
  <c r="C147" i="13"/>
  <c r="J147" i="13"/>
  <c r="P147" i="13"/>
  <c r="O147" i="13"/>
  <c r="H147" i="13"/>
  <c r="G147" i="13"/>
  <c r="O130" i="13"/>
  <c r="H130" i="13"/>
  <c r="N130" i="13"/>
  <c r="G130" i="13"/>
  <c r="Q130" i="13"/>
  <c r="F130" i="13"/>
  <c r="P130" i="13"/>
  <c r="C130" i="13"/>
  <c r="M130" i="13"/>
  <c r="J130" i="13"/>
  <c r="Q151" i="13"/>
  <c r="M151" i="13"/>
  <c r="F151" i="13"/>
  <c r="J151" i="13"/>
  <c r="P151" i="13"/>
  <c r="H151" i="13"/>
  <c r="O151" i="13"/>
  <c r="N151" i="13"/>
  <c r="G151" i="13"/>
  <c r="C151" i="13"/>
  <c r="P162" i="13"/>
  <c r="J162" i="13"/>
  <c r="C162" i="13"/>
  <c r="O162" i="13"/>
  <c r="H162" i="13"/>
  <c r="G162" i="13"/>
  <c r="Q162" i="13"/>
  <c r="F162" i="13"/>
  <c r="N162" i="13"/>
  <c r="M162" i="13"/>
  <c r="O149" i="13"/>
  <c r="H149" i="13"/>
  <c r="M149" i="13"/>
  <c r="C149" i="13"/>
  <c r="Q149" i="13"/>
  <c r="J149" i="13"/>
  <c r="P149" i="13"/>
  <c r="N149" i="13"/>
  <c r="G149" i="13"/>
  <c r="F149" i="13"/>
  <c r="O165" i="13"/>
  <c r="H165" i="13"/>
  <c r="N165" i="13"/>
  <c r="G165" i="13"/>
  <c r="Q165" i="13"/>
  <c r="F165" i="13"/>
  <c r="P165" i="13"/>
  <c r="C165" i="13"/>
  <c r="M165" i="13"/>
  <c r="J165" i="13"/>
  <c r="T18" i="13"/>
  <c r="S18" i="13"/>
  <c r="D18" i="13"/>
  <c r="V18" i="13"/>
  <c r="C18" i="13"/>
  <c r="H18" i="13" s="1"/>
  <c r="U18" i="13"/>
  <c r="G18" i="13"/>
  <c r="N18" i="13" s="1"/>
  <c r="T24" i="13"/>
  <c r="F24" i="13"/>
  <c r="M24" i="13" s="1"/>
  <c r="S24" i="13"/>
  <c r="D24" i="13"/>
  <c r="U24" i="13"/>
  <c r="G24" i="13"/>
  <c r="N24" i="13" s="1"/>
  <c r="C24" i="13"/>
  <c r="H24" i="13" s="1"/>
  <c r="V24" i="13"/>
  <c r="V15" i="13"/>
  <c r="C15" i="13"/>
  <c r="J15" i="13" s="1"/>
  <c r="U15" i="13"/>
  <c r="G15" i="13"/>
  <c r="N15" i="13" s="1"/>
  <c r="T15" i="13"/>
  <c r="D15" i="13"/>
  <c r="S15" i="13"/>
  <c r="V55" i="13"/>
  <c r="C55" i="13"/>
  <c r="U55" i="13"/>
  <c r="K55" i="13"/>
  <c r="P55" i="13" s="1"/>
  <c r="G55" i="13"/>
  <c r="N55" i="13" s="1"/>
  <c r="T55" i="13"/>
  <c r="D55" i="13"/>
  <c r="S55" i="13"/>
  <c r="O55" i="13"/>
  <c r="T30" i="13"/>
  <c r="S30" i="13"/>
  <c r="D30" i="13"/>
  <c r="G30" i="13"/>
  <c r="N30" i="13" s="1"/>
  <c r="V30" i="13"/>
  <c r="C30" i="13"/>
  <c r="H30" i="13" s="1"/>
  <c r="U30" i="13"/>
  <c r="T22" i="13"/>
  <c r="F22" i="13"/>
  <c r="M22" i="13" s="1"/>
  <c r="S22" i="13"/>
  <c r="D22" i="13"/>
  <c r="V22" i="13"/>
  <c r="C22" i="13"/>
  <c r="H22" i="13" s="1"/>
  <c r="G22" i="13"/>
  <c r="N22" i="13" s="1"/>
  <c r="U22" i="13"/>
  <c r="T12" i="13"/>
  <c r="S12" i="13"/>
  <c r="D12" i="13"/>
  <c r="U12" i="13"/>
  <c r="G12" i="13"/>
  <c r="N12" i="13" s="1"/>
  <c r="V12" i="13"/>
  <c r="C12" i="13"/>
  <c r="J12" i="13" s="1"/>
  <c r="Q116" i="13"/>
  <c r="M116" i="13"/>
  <c r="F116" i="13"/>
  <c r="P116" i="13"/>
  <c r="J116" i="13"/>
  <c r="C116" i="13"/>
  <c r="H116" i="13"/>
  <c r="G116" i="13"/>
  <c r="O116" i="13"/>
  <c r="N116" i="13"/>
  <c r="T42" i="13"/>
  <c r="O42" i="13"/>
  <c r="S42" i="13"/>
  <c r="D42" i="13"/>
  <c r="V42" i="13"/>
  <c r="C42" i="13"/>
  <c r="U42" i="13"/>
  <c r="K42" i="13"/>
  <c r="P42" i="13" s="1"/>
  <c r="G42" i="13"/>
  <c r="N42" i="13" s="1"/>
  <c r="U83" i="13"/>
  <c r="P83" i="13"/>
  <c r="K83" i="13"/>
  <c r="G83" i="13"/>
  <c r="T83" i="13"/>
  <c r="O83" i="13"/>
  <c r="J83" i="13"/>
  <c r="F83" i="13"/>
  <c r="S83" i="13"/>
  <c r="I83" i="13"/>
  <c r="Q83" i="13"/>
  <c r="H83" i="13"/>
  <c r="C83" i="13"/>
  <c r="V83" i="13"/>
  <c r="N83" i="13"/>
  <c r="M83" i="13"/>
  <c r="S8" i="13"/>
  <c r="D8" i="13"/>
  <c r="U8" i="13"/>
  <c r="V8" i="13"/>
  <c r="C8" i="13"/>
  <c r="F8" i="13" s="1"/>
  <c r="G8" i="13"/>
  <c r="N8" i="13" s="1"/>
  <c r="T8" i="13"/>
  <c r="T36" i="13"/>
  <c r="O36" i="13"/>
  <c r="S36" i="13"/>
  <c r="D36" i="13"/>
  <c r="G36" i="13"/>
  <c r="N36" i="13" s="1"/>
  <c r="U36" i="13"/>
  <c r="V36" i="13"/>
  <c r="C36" i="13"/>
  <c r="J36" i="13" s="1"/>
  <c r="K36" i="13"/>
  <c r="P36" i="13" s="1"/>
  <c r="Q132" i="13"/>
  <c r="M132" i="13"/>
  <c r="F132" i="13"/>
  <c r="P132" i="13"/>
  <c r="J132" i="13"/>
  <c r="C132" i="13"/>
  <c r="H132" i="13"/>
  <c r="G132" i="13"/>
  <c r="O132" i="13"/>
  <c r="N132" i="13"/>
  <c r="T16" i="13"/>
  <c r="S16" i="13"/>
  <c r="D16" i="13"/>
  <c r="U16" i="13"/>
  <c r="G16" i="13"/>
  <c r="N16" i="13" s="1"/>
  <c r="V16" i="13"/>
  <c r="C16" i="13"/>
  <c r="J16" i="13" s="1"/>
  <c r="T48" i="13"/>
  <c r="O48" i="13"/>
  <c r="S48" i="13"/>
  <c r="D48" i="13"/>
  <c r="U48" i="13"/>
  <c r="K48" i="13"/>
  <c r="P48" i="13" s="1"/>
  <c r="G48" i="13"/>
  <c r="N48" i="13" s="1"/>
  <c r="C48" i="13"/>
  <c r="I48" i="13" s="1"/>
  <c r="V48" i="13"/>
  <c r="V13" i="13"/>
  <c r="C13" i="13"/>
  <c r="F13" i="13" s="1"/>
  <c r="U13" i="13"/>
  <c r="G13" i="13"/>
  <c r="N13" i="13" s="1"/>
  <c r="T13" i="13"/>
  <c r="D13" i="13"/>
  <c r="S13" i="13"/>
  <c r="V21" i="13"/>
  <c r="C21" i="13"/>
  <c r="H21" i="13" s="1"/>
  <c r="U21" i="13"/>
  <c r="G21" i="13"/>
  <c r="N21" i="13" s="1"/>
  <c r="T21" i="13"/>
  <c r="D21" i="13"/>
  <c r="S21" i="13"/>
  <c r="F21" i="13"/>
  <c r="M21" i="13" s="1"/>
  <c r="V29" i="13"/>
  <c r="C29" i="13"/>
  <c r="H29" i="13" s="1"/>
  <c r="U29" i="13"/>
  <c r="G29" i="13"/>
  <c r="N29" i="13" s="1"/>
  <c r="T29" i="13"/>
  <c r="D29" i="13"/>
  <c r="S29" i="13"/>
  <c r="V37" i="13"/>
  <c r="C37" i="13"/>
  <c r="I37" i="13" s="1"/>
  <c r="U37" i="13"/>
  <c r="K37" i="13"/>
  <c r="P37" i="13" s="1"/>
  <c r="G37" i="13"/>
  <c r="N37" i="13" s="1"/>
  <c r="T37" i="13"/>
  <c r="D37" i="13"/>
  <c r="S37" i="13"/>
  <c r="O37" i="13"/>
  <c r="V45" i="13"/>
  <c r="C45" i="13"/>
  <c r="F45" i="13" s="1"/>
  <c r="U45" i="13"/>
  <c r="K45" i="13"/>
  <c r="P45" i="13" s="1"/>
  <c r="G45" i="13"/>
  <c r="N45" i="13" s="1"/>
  <c r="T45" i="13"/>
  <c r="D45" i="13"/>
  <c r="O45" i="13"/>
  <c r="S45" i="13"/>
  <c r="V53" i="13"/>
  <c r="C53" i="13"/>
  <c r="I53" i="13" s="1"/>
  <c r="U53" i="13"/>
  <c r="K53" i="13"/>
  <c r="P53" i="13" s="1"/>
  <c r="G53" i="13"/>
  <c r="N53" i="13" s="1"/>
  <c r="T53" i="13"/>
  <c r="D53" i="13"/>
  <c r="O53" i="13"/>
  <c r="S53" i="13"/>
  <c r="V61" i="13"/>
  <c r="C61" i="13"/>
  <c r="F61" i="13" s="1"/>
  <c r="U61" i="13"/>
  <c r="K61" i="13"/>
  <c r="P61" i="13" s="1"/>
  <c r="G61" i="13"/>
  <c r="N61" i="13" s="1"/>
  <c r="T61" i="13"/>
  <c r="D61" i="13"/>
  <c r="O61" i="13"/>
  <c r="S61" i="13"/>
  <c r="U79" i="13"/>
  <c r="P79" i="13"/>
  <c r="K79" i="13"/>
  <c r="G79" i="13"/>
  <c r="T79" i="13"/>
  <c r="O79" i="13"/>
  <c r="J79" i="13"/>
  <c r="F79" i="13"/>
  <c r="N79" i="13"/>
  <c r="C79" i="13"/>
  <c r="V79" i="13"/>
  <c r="M79" i="13"/>
  <c r="I79" i="13"/>
  <c r="H79" i="13"/>
  <c r="S79" i="13"/>
  <c r="Q79" i="13"/>
  <c r="P154" i="13"/>
  <c r="J154" i="13"/>
  <c r="C154" i="13"/>
  <c r="Q154" i="13"/>
  <c r="H154" i="13"/>
  <c r="O154" i="13"/>
  <c r="G154" i="13"/>
  <c r="N154" i="13"/>
  <c r="M154" i="13"/>
  <c r="F154" i="13"/>
  <c r="T80" i="13"/>
  <c r="O80" i="13"/>
  <c r="J80" i="13"/>
  <c r="F80" i="13"/>
  <c r="S80" i="13"/>
  <c r="N80" i="13"/>
  <c r="I80" i="13"/>
  <c r="C80" i="13"/>
  <c r="V80" i="13"/>
  <c r="M80" i="13"/>
  <c r="U80" i="13"/>
  <c r="K80" i="13"/>
  <c r="H80" i="13"/>
  <c r="Q80" i="13"/>
  <c r="P80" i="13"/>
  <c r="G80" i="13"/>
  <c r="P158" i="13"/>
  <c r="J158" i="13"/>
  <c r="C158" i="13"/>
  <c r="O158" i="13"/>
  <c r="G158" i="13"/>
  <c r="N158" i="13"/>
  <c r="F158" i="13"/>
  <c r="M158" i="13"/>
  <c r="H158" i="13"/>
  <c r="Q158" i="13"/>
  <c r="S85" i="13"/>
  <c r="N85" i="13"/>
  <c r="I85" i="13"/>
  <c r="C85" i="13"/>
  <c r="V85" i="13"/>
  <c r="Q85" i="13"/>
  <c r="M85" i="13"/>
  <c r="H85" i="13"/>
  <c r="P85" i="13"/>
  <c r="G85" i="13"/>
  <c r="O85" i="13"/>
  <c r="F85" i="13"/>
  <c r="U85" i="13"/>
  <c r="T85" i="13"/>
  <c r="K85" i="13"/>
  <c r="J85" i="13"/>
  <c r="N109" i="13"/>
  <c r="G109" i="13"/>
  <c r="Q109" i="13"/>
  <c r="M109" i="13"/>
  <c r="F109" i="13"/>
  <c r="P109" i="13"/>
  <c r="C109" i="13"/>
  <c r="O109" i="13"/>
  <c r="J109" i="13"/>
  <c r="H109" i="13"/>
  <c r="Q155" i="13"/>
  <c r="M155" i="13"/>
  <c r="F155" i="13"/>
  <c r="P155" i="13"/>
  <c r="H155" i="13"/>
  <c r="O155" i="13"/>
  <c r="G155" i="13"/>
  <c r="N155" i="13"/>
  <c r="J155" i="13"/>
  <c r="C155" i="13"/>
  <c r="V82" i="13"/>
  <c r="Q82" i="13"/>
  <c r="M82" i="13"/>
  <c r="H82" i="13"/>
  <c r="U82" i="13"/>
  <c r="P82" i="13"/>
  <c r="K82" i="13"/>
  <c r="G82" i="13"/>
  <c r="T82" i="13"/>
  <c r="J82" i="13"/>
  <c r="S82" i="13"/>
  <c r="I82" i="13"/>
  <c r="F82" i="13"/>
  <c r="O82" i="13"/>
  <c r="N82" i="13"/>
  <c r="C82" i="13"/>
  <c r="Q104" i="13"/>
  <c r="M104" i="13"/>
  <c r="F104" i="13"/>
  <c r="P104" i="13"/>
  <c r="J104" i="13"/>
  <c r="C104" i="13"/>
  <c r="O104" i="13"/>
  <c r="N104" i="13"/>
  <c r="G104" i="13"/>
  <c r="H104" i="13"/>
  <c r="N129" i="13"/>
  <c r="G129" i="13"/>
  <c r="O129" i="13"/>
  <c r="F129" i="13"/>
  <c r="M129" i="13"/>
  <c r="C129" i="13"/>
  <c r="Q129" i="13"/>
  <c r="P129" i="13"/>
  <c r="J129" i="13"/>
  <c r="H129" i="13"/>
  <c r="S97" i="13"/>
  <c r="N97" i="13"/>
  <c r="I97" i="13"/>
  <c r="C97" i="13"/>
  <c r="V97" i="13"/>
  <c r="Q97" i="13"/>
  <c r="M97" i="13"/>
  <c r="H97" i="13"/>
  <c r="P97" i="13"/>
  <c r="G97" i="13"/>
  <c r="O97" i="13"/>
  <c r="F97" i="13"/>
  <c r="K97" i="13"/>
  <c r="J97" i="13"/>
  <c r="T97" i="13"/>
  <c r="U97" i="13"/>
  <c r="P111" i="13"/>
  <c r="J111" i="13"/>
  <c r="C111" i="13"/>
  <c r="O111" i="13"/>
  <c r="H111" i="13"/>
  <c r="G111" i="13"/>
  <c r="Q111" i="13"/>
  <c r="F111" i="13"/>
  <c r="N111" i="13"/>
  <c r="M111" i="13"/>
  <c r="P127" i="13"/>
  <c r="J127" i="13"/>
  <c r="C127" i="13"/>
  <c r="O127" i="13"/>
  <c r="H127" i="13"/>
  <c r="G127" i="13"/>
  <c r="Q127" i="13"/>
  <c r="F127" i="13"/>
  <c r="N127" i="13"/>
  <c r="M127" i="13"/>
  <c r="V90" i="13"/>
  <c r="Q90" i="13"/>
  <c r="M90" i="13"/>
  <c r="H90" i="13"/>
  <c r="U90" i="13"/>
  <c r="P90" i="13"/>
  <c r="K90" i="13"/>
  <c r="G90" i="13"/>
  <c r="O90" i="13"/>
  <c r="F90" i="13"/>
  <c r="N90" i="13"/>
  <c r="C90" i="13"/>
  <c r="T90" i="13"/>
  <c r="S90" i="13"/>
  <c r="J90" i="13"/>
  <c r="I90" i="13"/>
  <c r="O106" i="13"/>
  <c r="H106" i="13"/>
  <c r="N106" i="13"/>
  <c r="G106" i="13"/>
  <c r="Q106" i="13"/>
  <c r="F106" i="13"/>
  <c r="P106" i="13"/>
  <c r="C106" i="13"/>
  <c r="M106" i="13"/>
  <c r="J106" i="13"/>
  <c r="O122" i="13"/>
  <c r="H122" i="13"/>
  <c r="N122" i="13"/>
  <c r="G122" i="13"/>
  <c r="Q122" i="13"/>
  <c r="F122" i="13"/>
  <c r="P122" i="13"/>
  <c r="C122" i="13"/>
  <c r="M122" i="13"/>
  <c r="J122" i="13"/>
  <c r="Q143" i="13"/>
  <c r="M143" i="13"/>
  <c r="F143" i="13"/>
  <c r="O143" i="13"/>
  <c r="G143" i="13"/>
  <c r="N143" i="13"/>
  <c r="C143" i="13"/>
  <c r="P143" i="13"/>
  <c r="J143" i="13"/>
  <c r="H143" i="13"/>
  <c r="P135" i="13"/>
  <c r="J135" i="13"/>
  <c r="C135" i="13"/>
  <c r="O135" i="13"/>
  <c r="H135" i="13"/>
  <c r="G135" i="13"/>
  <c r="Q135" i="13"/>
  <c r="F135" i="13"/>
  <c r="N135" i="13"/>
  <c r="M135" i="13"/>
  <c r="N148" i="13"/>
  <c r="G148" i="13"/>
  <c r="M148" i="13"/>
  <c r="C148" i="13"/>
  <c r="Q148" i="13"/>
  <c r="J148" i="13"/>
  <c r="P148" i="13"/>
  <c r="O148" i="13"/>
  <c r="H148" i="13"/>
  <c r="F148" i="13"/>
  <c r="O134" i="13"/>
  <c r="H134" i="13"/>
  <c r="N134" i="13"/>
  <c r="G134" i="13"/>
  <c r="M134" i="13"/>
  <c r="J134" i="13"/>
  <c r="F134" i="13"/>
  <c r="C134" i="13"/>
  <c r="Q134" i="13"/>
  <c r="P134" i="13"/>
  <c r="N152" i="13"/>
  <c r="G152" i="13"/>
  <c r="Q152" i="13"/>
  <c r="J152" i="13"/>
  <c r="P152" i="13"/>
  <c r="H152" i="13"/>
  <c r="O152" i="13"/>
  <c r="M152" i="13"/>
  <c r="C152" i="13"/>
  <c r="F152" i="13"/>
  <c r="P166" i="13"/>
  <c r="J166" i="13"/>
  <c r="C166" i="13"/>
  <c r="O166" i="13"/>
  <c r="H166" i="13"/>
  <c r="N166" i="13"/>
  <c r="M166" i="13"/>
  <c r="Q166" i="13"/>
  <c r="G166" i="13"/>
  <c r="F166" i="13"/>
  <c r="O153" i="13"/>
  <c r="H153" i="13"/>
  <c r="Q153" i="13"/>
  <c r="J153" i="13"/>
  <c r="P153" i="13"/>
  <c r="G153" i="13"/>
  <c r="N153" i="13"/>
  <c r="M153" i="13"/>
  <c r="F153" i="13"/>
  <c r="C153" i="13"/>
  <c r="O169" i="13"/>
  <c r="H169" i="13"/>
  <c r="N169" i="13"/>
  <c r="G169" i="13"/>
  <c r="M169" i="13"/>
  <c r="J169" i="13"/>
  <c r="Q169" i="13"/>
  <c r="P169" i="13"/>
  <c r="F169" i="13"/>
  <c r="C169" i="13"/>
  <c r="I8" i="12"/>
  <c r="I32" i="12"/>
  <c r="I18" i="12"/>
  <c r="I22" i="12"/>
  <c r="I28" i="12"/>
  <c r="I15" i="12"/>
  <c r="I23" i="12"/>
  <c r="I31" i="12"/>
  <c r="I9" i="12"/>
  <c r="I26" i="12"/>
  <c r="I17" i="12"/>
  <c r="I25" i="12"/>
  <c r="K25" i="12" s="1"/>
  <c r="I16" i="12"/>
  <c r="I30" i="12"/>
  <c r="I12" i="12"/>
  <c r="I11" i="12"/>
  <c r="I19" i="12"/>
  <c r="I27" i="12"/>
  <c r="I24" i="12"/>
  <c r="I10" i="12"/>
  <c r="I14" i="12"/>
  <c r="I20" i="12"/>
  <c r="I13" i="12"/>
  <c r="I21" i="12"/>
  <c r="I29" i="12"/>
  <c r="I7" i="12"/>
  <c r="D32" i="12"/>
  <c r="F32" i="12"/>
  <c r="G32" i="12" s="1"/>
  <c r="D15" i="12"/>
  <c r="F15" i="12"/>
  <c r="C83" i="12"/>
  <c r="F83" i="12"/>
  <c r="C76" i="12"/>
  <c r="F76" i="12"/>
  <c r="C92" i="12"/>
  <c r="F92" i="12"/>
  <c r="C73" i="12"/>
  <c r="F73" i="12"/>
  <c r="C89" i="12"/>
  <c r="F89" i="12"/>
  <c r="C115" i="12"/>
  <c r="F115" i="12"/>
  <c r="C70" i="12"/>
  <c r="F70" i="12"/>
  <c r="C86" i="12"/>
  <c r="F86" i="12"/>
  <c r="C111" i="12"/>
  <c r="F111" i="12"/>
  <c r="D9" i="12"/>
  <c r="F9" i="12"/>
  <c r="C67" i="12"/>
  <c r="F67" i="12"/>
  <c r="D26" i="12"/>
  <c r="F26" i="12"/>
  <c r="D17" i="12"/>
  <c r="F17" i="12"/>
  <c r="D25" i="12"/>
  <c r="F25" i="12"/>
  <c r="C62" i="12"/>
  <c r="F62" i="12"/>
  <c r="C107" i="12"/>
  <c r="F107" i="12"/>
  <c r="C95" i="12"/>
  <c r="F95" i="12"/>
  <c r="C64" i="12"/>
  <c r="F64" i="12"/>
  <c r="C80" i="12"/>
  <c r="F80" i="12"/>
  <c r="C96" i="12"/>
  <c r="F96" i="12"/>
  <c r="C77" i="12"/>
  <c r="F77" i="12"/>
  <c r="C93" i="12"/>
  <c r="F93" i="12"/>
  <c r="C122" i="12"/>
  <c r="F122" i="12"/>
  <c r="C74" i="12"/>
  <c r="F74" i="12"/>
  <c r="C90" i="12"/>
  <c r="F90" i="12"/>
  <c r="C102" i="12"/>
  <c r="F102" i="12"/>
  <c r="C118" i="12"/>
  <c r="F118" i="12"/>
  <c r="C156" i="12"/>
  <c r="F156" i="12"/>
  <c r="C117" i="12"/>
  <c r="F117" i="12"/>
  <c r="C108" i="12"/>
  <c r="F108" i="12"/>
  <c r="C140" i="12"/>
  <c r="F140" i="12"/>
  <c r="C135" i="12"/>
  <c r="F135" i="12"/>
  <c r="C168" i="12"/>
  <c r="F168" i="12"/>
  <c r="C138" i="12"/>
  <c r="F138" i="12"/>
  <c r="C121" i="12"/>
  <c r="F121" i="12"/>
  <c r="C137" i="12"/>
  <c r="F137" i="12"/>
  <c r="C147" i="12"/>
  <c r="F147" i="12"/>
  <c r="C163" i="12"/>
  <c r="F163" i="12"/>
  <c r="C154" i="12"/>
  <c r="F154" i="12"/>
  <c r="C170" i="12"/>
  <c r="F170" i="12"/>
  <c r="C157" i="12"/>
  <c r="F157" i="12"/>
  <c r="D22" i="12"/>
  <c r="F22" i="12"/>
  <c r="C91" i="12"/>
  <c r="F91" i="12"/>
  <c r="D16" i="12"/>
  <c r="F16" i="12"/>
  <c r="D30" i="12"/>
  <c r="F30" i="12"/>
  <c r="D12" i="12"/>
  <c r="F12" i="12"/>
  <c r="D11" i="12"/>
  <c r="F11" i="12"/>
  <c r="D19" i="12"/>
  <c r="F19" i="12"/>
  <c r="G19" i="12" s="1"/>
  <c r="D27" i="12"/>
  <c r="F27" i="12"/>
  <c r="G27" i="12" s="1"/>
  <c r="C69" i="12"/>
  <c r="F69" i="12"/>
  <c r="C63" i="12"/>
  <c r="F63" i="12"/>
  <c r="C99" i="12"/>
  <c r="F99" i="12"/>
  <c r="C68" i="12"/>
  <c r="F68" i="12"/>
  <c r="C84" i="12"/>
  <c r="F84" i="12"/>
  <c r="C103" i="12"/>
  <c r="F103" i="12"/>
  <c r="C81" i="12"/>
  <c r="F81" i="12"/>
  <c r="C97" i="12"/>
  <c r="F97" i="12"/>
  <c r="C136" i="12"/>
  <c r="F136" i="12"/>
  <c r="C78" i="12"/>
  <c r="F78" i="12"/>
  <c r="C94" i="12"/>
  <c r="F94" i="12"/>
  <c r="C106" i="12"/>
  <c r="F106" i="12"/>
  <c r="C120" i="12"/>
  <c r="F120" i="12"/>
  <c r="C105" i="12"/>
  <c r="F105" i="12"/>
  <c r="C128" i="12"/>
  <c r="F128" i="12"/>
  <c r="C112" i="12"/>
  <c r="F112" i="12"/>
  <c r="C123" i="12"/>
  <c r="F123" i="12"/>
  <c r="C139" i="12"/>
  <c r="F139" i="12"/>
  <c r="C126" i="12"/>
  <c r="F126" i="12"/>
  <c r="C142" i="12"/>
  <c r="F142" i="12"/>
  <c r="C125" i="12"/>
  <c r="F125" i="12"/>
  <c r="C141" i="12"/>
  <c r="F141" i="12"/>
  <c r="C151" i="12"/>
  <c r="F151" i="12"/>
  <c r="C167" i="12"/>
  <c r="F167" i="12"/>
  <c r="C158" i="12"/>
  <c r="F158" i="12"/>
  <c r="C145" i="12"/>
  <c r="F145" i="12"/>
  <c r="C161" i="12"/>
  <c r="F161" i="12"/>
  <c r="D8" i="12"/>
  <c r="F8" i="12"/>
  <c r="G8" i="12" s="1"/>
  <c r="H8" i="12" s="1"/>
  <c r="D18" i="12"/>
  <c r="F18" i="12"/>
  <c r="D28" i="12"/>
  <c r="F28" i="12"/>
  <c r="G28" i="12" s="1"/>
  <c r="D23" i="12"/>
  <c r="F23" i="12"/>
  <c r="G23" i="12" s="1"/>
  <c r="D31" i="12"/>
  <c r="F31" i="12"/>
  <c r="G31" i="12" s="1"/>
  <c r="C87" i="12"/>
  <c r="F87" i="12"/>
  <c r="C79" i="12"/>
  <c r="F79" i="12"/>
  <c r="D24" i="12"/>
  <c r="F24" i="12"/>
  <c r="D10" i="12"/>
  <c r="F10" i="12"/>
  <c r="D14" i="12"/>
  <c r="F14" i="12"/>
  <c r="D20" i="12"/>
  <c r="F20" i="12"/>
  <c r="G20" i="12" s="1"/>
  <c r="D13" i="12"/>
  <c r="F13" i="12"/>
  <c r="D21" i="12"/>
  <c r="F21" i="12"/>
  <c r="D29" i="12"/>
  <c r="F29" i="12"/>
  <c r="C75" i="12"/>
  <c r="F75" i="12"/>
  <c r="C71" i="12"/>
  <c r="F71" i="12"/>
  <c r="C65" i="12"/>
  <c r="F65" i="12"/>
  <c r="C72" i="12"/>
  <c r="F72" i="12"/>
  <c r="C88" i="12"/>
  <c r="F88" i="12"/>
  <c r="C119" i="12"/>
  <c r="F119" i="12"/>
  <c r="C85" i="12"/>
  <c r="F85" i="12"/>
  <c r="C101" i="12"/>
  <c r="F101" i="12"/>
  <c r="C66" i="12"/>
  <c r="F66" i="12"/>
  <c r="C82" i="12"/>
  <c r="F82" i="12"/>
  <c r="C98" i="12"/>
  <c r="F98" i="12"/>
  <c r="C110" i="12"/>
  <c r="F110" i="12"/>
  <c r="C132" i="12"/>
  <c r="F132" i="12"/>
  <c r="C109" i="12"/>
  <c r="F109" i="12"/>
  <c r="C100" i="12"/>
  <c r="F100" i="12"/>
  <c r="C116" i="12"/>
  <c r="F116" i="12"/>
  <c r="C127" i="12"/>
  <c r="F127" i="12"/>
  <c r="C144" i="12"/>
  <c r="F144" i="12"/>
  <c r="C130" i="12"/>
  <c r="F130" i="12"/>
  <c r="C148" i="12"/>
  <c r="F148" i="12"/>
  <c r="C129" i="12"/>
  <c r="F129" i="12"/>
  <c r="C160" i="12"/>
  <c r="F160" i="12"/>
  <c r="C155" i="12"/>
  <c r="F155" i="12"/>
  <c r="C171" i="12"/>
  <c r="F171" i="12"/>
  <c r="C162" i="12"/>
  <c r="F162" i="12"/>
  <c r="C149" i="12"/>
  <c r="F149" i="12"/>
  <c r="C165" i="12"/>
  <c r="F165" i="12"/>
  <c r="C114" i="12"/>
  <c r="F114" i="12"/>
  <c r="C146" i="12"/>
  <c r="F146" i="12"/>
  <c r="C113" i="12"/>
  <c r="F113" i="12"/>
  <c r="C104" i="12"/>
  <c r="F104" i="12"/>
  <c r="C124" i="12"/>
  <c r="F124" i="12"/>
  <c r="C131" i="12"/>
  <c r="F131" i="12"/>
  <c r="C152" i="12"/>
  <c r="F152" i="12"/>
  <c r="C134" i="12"/>
  <c r="F134" i="12"/>
  <c r="C164" i="12"/>
  <c r="F164" i="12"/>
  <c r="C133" i="12"/>
  <c r="F133" i="12"/>
  <c r="C143" i="12"/>
  <c r="F143" i="12"/>
  <c r="C159" i="12"/>
  <c r="F159" i="12"/>
  <c r="C150" i="12"/>
  <c r="F150" i="12"/>
  <c r="C166" i="12"/>
  <c r="F166" i="12"/>
  <c r="C153" i="12"/>
  <c r="F153" i="12"/>
  <c r="C169" i="12"/>
  <c r="F169" i="12"/>
  <c r="D7" i="12"/>
  <c r="F7" i="12"/>
  <c r="D37" i="12"/>
  <c r="D42" i="12"/>
  <c r="D50" i="12"/>
  <c r="D58" i="12"/>
  <c r="D39" i="12"/>
  <c r="D47" i="12"/>
  <c r="D55" i="12"/>
  <c r="D44" i="12"/>
  <c r="D52" i="12"/>
  <c r="D60" i="12"/>
  <c r="D41" i="12"/>
  <c r="D49" i="12"/>
  <c r="D57" i="12"/>
  <c r="D36" i="12"/>
  <c r="D33" i="12"/>
  <c r="D38" i="12"/>
  <c r="D46" i="12"/>
  <c r="D54" i="12"/>
  <c r="D43" i="12"/>
  <c r="D51" i="12"/>
  <c r="D59" i="12"/>
  <c r="D34" i="12"/>
  <c r="D35" i="12"/>
  <c r="D40" i="12"/>
  <c r="D48" i="12"/>
  <c r="D56" i="12"/>
  <c r="D45" i="12"/>
  <c r="D53" i="12"/>
  <c r="D61" i="12"/>
  <c r="Q102" i="12"/>
  <c r="M102" i="12"/>
  <c r="P102" i="12"/>
  <c r="J102" i="12"/>
  <c r="O102" i="12"/>
  <c r="H102" i="12"/>
  <c r="G102" i="12"/>
  <c r="N102" i="12"/>
  <c r="Q118" i="12"/>
  <c r="M118" i="12"/>
  <c r="P118" i="12"/>
  <c r="J118" i="12"/>
  <c r="O118" i="12"/>
  <c r="H118" i="12"/>
  <c r="G118" i="12"/>
  <c r="N118" i="12"/>
  <c r="N156" i="12"/>
  <c r="G156" i="12"/>
  <c r="Q156" i="12"/>
  <c r="M156" i="12"/>
  <c r="P156" i="12"/>
  <c r="J156" i="12"/>
  <c r="O156" i="12"/>
  <c r="H156" i="12"/>
  <c r="P117" i="12"/>
  <c r="J117" i="12"/>
  <c r="O117" i="12"/>
  <c r="H117" i="12"/>
  <c r="N117" i="12"/>
  <c r="G117" i="12"/>
  <c r="Q117" i="12"/>
  <c r="M117" i="12"/>
  <c r="O108" i="12"/>
  <c r="H108" i="12"/>
  <c r="N108" i="12"/>
  <c r="G108" i="12"/>
  <c r="Q108" i="12"/>
  <c r="M108" i="12"/>
  <c r="P108" i="12"/>
  <c r="J108" i="12"/>
  <c r="N140" i="12"/>
  <c r="G140" i="12"/>
  <c r="Q140" i="12"/>
  <c r="M140" i="12"/>
  <c r="P140" i="12"/>
  <c r="J140" i="12"/>
  <c r="O140" i="12"/>
  <c r="H140" i="12"/>
  <c r="Q135" i="12"/>
  <c r="M135" i="12"/>
  <c r="P135" i="12"/>
  <c r="J135" i="12"/>
  <c r="O135" i="12"/>
  <c r="H135" i="12"/>
  <c r="N135" i="12"/>
  <c r="G135" i="12"/>
  <c r="N168" i="12"/>
  <c r="G168" i="12"/>
  <c r="Q168" i="12"/>
  <c r="M168" i="12"/>
  <c r="P168" i="12"/>
  <c r="J168" i="12"/>
  <c r="O168" i="12"/>
  <c r="H168" i="12"/>
  <c r="P138" i="12"/>
  <c r="J138" i="12"/>
  <c r="O138" i="12"/>
  <c r="H138" i="12"/>
  <c r="N138" i="12"/>
  <c r="G138" i="12"/>
  <c r="M138" i="12"/>
  <c r="Q138" i="12"/>
  <c r="O121" i="12"/>
  <c r="H121" i="12"/>
  <c r="Q121" i="12"/>
  <c r="M121" i="12"/>
  <c r="P121" i="12"/>
  <c r="N121" i="12"/>
  <c r="J121" i="12"/>
  <c r="G121" i="12"/>
  <c r="O137" i="12"/>
  <c r="H137" i="12"/>
  <c r="N137" i="12"/>
  <c r="G137" i="12"/>
  <c r="Q137" i="12"/>
  <c r="M137" i="12"/>
  <c r="P137" i="12"/>
  <c r="J137" i="12"/>
  <c r="Q147" i="12"/>
  <c r="M147" i="12"/>
  <c r="P147" i="12"/>
  <c r="O147" i="12"/>
  <c r="H147" i="12"/>
  <c r="G147" i="12"/>
  <c r="N147" i="12"/>
  <c r="J147" i="12"/>
  <c r="Q163" i="12"/>
  <c r="M163" i="12"/>
  <c r="P163" i="12"/>
  <c r="J163" i="12"/>
  <c r="O163" i="12"/>
  <c r="H163" i="12"/>
  <c r="N163" i="12"/>
  <c r="G163" i="12"/>
  <c r="P154" i="12"/>
  <c r="J154" i="12"/>
  <c r="O154" i="12"/>
  <c r="H154" i="12"/>
  <c r="N154" i="12"/>
  <c r="G154" i="12"/>
  <c r="Q154" i="12"/>
  <c r="M154" i="12"/>
  <c r="P170" i="12"/>
  <c r="J170" i="12"/>
  <c r="O170" i="12"/>
  <c r="H170" i="12"/>
  <c r="N170" i="12"/>
  <c r="G170" i="12"/>
  <c r="Q170" i="12"/>
  <c r="M170" i="12"/>
  <c r="O157" i="12"/>
  <c r="H157" i="12"/>
  <c r="N157" i="12"/>
  <c r="G157" i="12"/>
  <c r="Q157" i="12"/>
  <c r="M157" i="12"/>
  <c r="P157" i="12"/>
  <c r="J157" i="12"/>
  <c r="Q106" i="12"/>
  <c r="M106" i="12"/>
  <c r="P106" i="12"/>
  <c r="J106" i="12"/>
  <c r="O106" i="12"/>
  <c r="H106" i="12"/>
  <c r="N106" i="12"/>
  <c r="G106" i="12"/>
  <c r="N120" i="12"/>
  <c r="G120" i="12"/>
  <c r="P120" i="12"/>
  <c r="J120" i="12"/>
  <c r="H120" i="12"/>
  <c r="Q120" i="12"/>
  <c r="O120" i="12"/>
  <c r="M120" i="12"/>
  <c r="P105" i="12"/>
  <c r="J105" i="12"/>
  <c r="O105" i="12"/>
  <c r="H105" i="12"/>
  <c r="N105" i="12"/>
  <c r="G105" i="12"/>
  <c r="Q105" i="12"/>
  <c r="M105" i="12"/>
  <c r="N128" i="12"/>
  <c r="G128" i="12"/>
  <c r="Q128" i="12"/>
  <c r="M128" i="12"/>
  <c r="P128" i="12"/>
  <c r="J128" i="12"/>
  <c r="H128" i="12"/>
  <c r="O128" i="12"/>
  <c r="O112" i="12"/>
  <c r="H112" i="12"/>
  <c r="N112" i="12"/>
  <c r="G112" i="12"/>
  <c r="Q112" i="12"/>
  <c r="M112" i="12"/>
  <c r="J112" i="12"/>
  <c r="P112" i="12"/>
  <c r="Q123" i="12"/>
  <c r="M123" i="12"/>
  <c r="O123" i="12"/>
  <c r="H123" i="12"/>
  <c r="G123" i="12"/>
  <c r="P123" i="12"/>
  <c r="N123" i="12"/>
  <c r="J123" i="12"/>
  <c r="Q139" i="12"/>
  <c r="M139" i="12"/>
  <c r="P139" i="12"/>
  <c r="J139" i="12"/>
  <c r="O139" i="12"/>
  <c r="H139" i="12"/>
  <c r="N139" i="12"/>
  <c r="G139" i="12"/>
  <c r="P126" i="12"/>
  <c r="J126" i="12"/>
  <c r="O126" i="12"/>
  <c r="H126" i="12"/>
  <c r="N126" i="12"/>
  <c r="G126" i="12"/>
  <c r="Q126" i="12"/>
  <c r="M126" i="12"/>
  <c r="P142" i="12"/>
  <c r="J142" i="12"/>
  <c r="N142" i="12"/>
  <c r="G142" i="12"/>
  <c r="Q142" i="12"/>
  <c r="O142" i="12"/>
  <c r="M142" i="12"/>
  <c r="H142" i="12"/>
  <c r="O125" i="12"/>
  <c r="H125" i="12"/>
  <c r="N125" i="12"/>
  <c r="Q125" i="12"/>
  <c r="M125" i="12"/>
  <c r="J125" i="12"/>
  <c r="G125" i="12"/>
  <c r="P125" i="12"/>
  <c r="O141" i="12"/>
  <c r="H141" i="12"/>
  <c r="Q141" i="12"/>
  <c r="M141" i="12"/>
  <c r="J141" i="12"/>
  <c r="G141" i="12"/>
  <c r="P141" i="12"/>
  <c r="N141" i="12"/>
  <c r="Q151" i="12"/>
  <c r="M151" i="12"/>
  <c r="P151" i="12"/>
  <c r="J151" i="12"/>
  <c r="O151" i="12"/>
  <c r="H151" i="12"/>
  <c r="G151" i="12"/>
  <c r="N151" i="12"/>
  <c r="Q167" i="12"/>
  <c r="M167" i="12"/>
  <c r="P167" i="12"/>
  <c r="J167" i="12"/>
  <c r="O167" i="12"/>
  <c r="H167" i="12"/>
  <c r="G167" i="12"/>
  <c r="N167" i="12"/>
  <c r="P158" i="12"/>
  <c r="J158" i="12"/>
  <c r="O158" i="12"/>
  <c r="H158" i="12"/>
  <c r="N158" i="12"/>
  <c r="G158" i="12"/>
  <c r="M158" i="12"/>
  <c r="Q158" i="12"/>
  <c r="O145" i="12"/>
  <c r="H145" i="12"/>
  <c r="Q145" i="12"/>
  <c r="M145" i="12"/>
  <c r="P145" i="12"/>
  <c r="N145" i="12"/>
  <c r="J145" i="12"/>
  <c r="G145" i="12"/>
  <c r="O161" i="12"/>
  <c r="H161" i="12"/>
  <c r="N161" i="12"/>
  <c r="G161" i="12"/>
  <c r="Q161" i="12"/>
  <c r="M161" i="12"/>
  <c r="J161" i="12"/>
  <c r="P161" i="12"/>
  <c r="Q110" i="12"/>
  <c r="M110" i="12"/>
  <c r="P110" i="12"/>
  <c r="J110" i="12"/>
  <c r="O110" i="12"/>
  <c r="H110" i="12"/>
  <c r="N110" i="12"/>
  <c r="G110" i="12"/>
  <c r="N132" i="12"/>
  <c r="G132" i="12"/>
  <c r="Q132" i="12"/>
  <c r="M132" i="12"/>
  <c r="P132" i="12"/>
  <c r="J132" i="12"/>
  <c r="O132" i="12"/>
  <c r="H132" i="12"/>
  <c r="P109" i="12"/>
  <c r="J109" i="12"/>
  <c r="O109" i="12"/>
  <c r="H109" i="12"/>
  <c r="N109" i="12"/>
  <c r="G109" i="12"/>
  <c r="M109" i="12"/>
  <c r="Q109" i="12"/>
  <c r="V100" i="12"/>
  <c r="Q100" i="12"/>
  <c r="M100" i="12"/>
  <c r="H100" i="12"/>
  <c r="U100" i="12"/>
  <c r="P100" i="12"/>
  <c r="K100" i="12"/>
  <c r="G100" i="12"/>
  <c r="T100" i="12"/>
  <c r="O100" i="12"/>
  <c r="J100" i="12"/>
  <c r="S100" i="12"/>
  <c r="N100" i="12"/>
  <c r="O116" i="12"/>
  <c r="H116" i="12"/>
  <c r="N116" i="12"/>
  <c r="G116" i="12"/>
  <c r="Q116" i="12"/>
  <c r="M116" i="12"/>
  <c r="P116" i="12"/>
  <c r="J116" i="12"/>
  <c r="Q127" i="12"/>
  <c r="M127" i="12"/>
  <c r="P127" i="12"/>
  <c r="J127" i="12"/>
  <c r="O127" i="12"/>
  <c r="H127" i="12"/>
  <c r="N127" i="12"/>
  <c r="G127" i="12"/>
  <c r="N144" i="12"/>
  <c r="G144" i="12"/>
  <c r="P144" i="12"/>
  <c r="J144" i="12"/>
  <c r="H144" i="12"/>
  <c r="Q144" i="12"/>
  <c r="O144" i="12"/>
  <c r="M144" i="12"/>
  <c r="P130" i="12"/>
  <c r="J130" i="12"/>
  <c r="O130" i="12"/>
  <c r="H130" i="12"/>
  <c r="N130" i="12"/>
  <c r="G130" i="12"/>
  <c r="Q130" i="12"/>
  <c r="M130" i="12"/>
  <c r="N148" i="12"/>
  <c r="G148" i="12"/>
  <c r="Q148" i="12"/>
  <c r="M148" i="12"/>
  <c r="P148" i="12"/>
  <c r="J148" i="12"/>
  <c r="H148" i="12"/>
  <c r="O148" i="12"/>
  <c r="O129" i="12"/>
  <c r="H129" i="12"/>
  <c r="N129" i="12"/>
  <c r="G129" i="12"/>
  <c r="Q129" i="12"/>
  <c r="M129" i="12"/>
  <c r="P129" i="12"/>
  <c r="J129" i="12"/>
  <c r="N160" i="12"/>
  <c r="G160" i="12"/>
  <c r="Q160" i="12"/>
  <c r="M160" i="12"/>
  <c r="P160" i="12"/>
  <c r="J160" i="12"/>
  <c r="O160" i="12"/>
  <c r="H160" i="12"/>
  <c r="Q155" i="12"/>
  <c r="M155" i="12"/>
  <c r="P155" i="12"/>
  <c r="J155" i="12"/>
  <c r="O155" i="12"/>
  <c r="H155" i="12"/>
  <c r="N155" i="12"/>
  <c r="G155" i="12"/>
  <c r="Q171" i="12"/>
  <c r="M171" i="12"/>
  <c r="P171" i="12"/>
  <c r="J171" i="12"/>
  <c r="O171" i="12"/>
  <c r="H171" i="12"/>
  <c r="N171" i="12"/>
  <c r="G171" i="12"/>
  <c r="P162" i="12"/>
  <c r="J162" i="12"/>
  <c r="O162" i="12"/>
  <c r="H162" i="12"/>
  <c r="N162" i="12"/>
  <c r="G162" i="12"/>
  <c r="Q162" i="12"/>
  <c r="M162" i="12"/>
  <c r="O149" i="12"/>
  <c r="H149" i="12"/>
  <c r="N149" i="12"/>
  <c r="G149" i="12"/>
  <c r="Q149" i="12"/>
  <c r="M149" i="12"/>
  <c r="P149" i="12"/>
  <c r="J149" i="12"/>
  <c r="O165" i="12"/>
  <c r="H165" i="12"/>
  <c r="N165" i="12"/>
  <c r="G165" i="12"/>
  <c r="Q165" i="12"/>
  <c r="M165" i="12"/>
  <c r="P165" i="12"/>
  <c r="J165" i="12"/>
  <c r="V9" i="12"/>
  <c r="J9" i="12"/>
  <c r="U9" i="12"/>
  <c r="T9" i="12"/>
  <c r="S9" i="12"/>
  <c r="U67" i="12"/>
  <c r="P67" i="12"/>
  <c r="K67" i="12"/>
  <c r="G67" i="12"/>
  <c r="S67" i="12"/>
  <c r="N67" i="12"/>
  <c r="T67" i="12"/>
  <c r="J67" i="12"/>
  <c r="Q67" i="12"/>
  <c r="H67" i="12"/>
  <c r="O67" i="12"/>
  <c r="V67" i="12"/>
  <c r="M67" i="12"/>
  <c r="T26" i="12"/>
  <c r="S26" i="12"/>
  <c r="V26" i="12"/>
  <c r="U26" i="12"/>
  <c r="V7" i="12"/>
  <c r="T7" i="12"/>
  <c r="U7" i="12"/>
  <c r="S7" i="12"/>
  <c r="T36" i="12"/>
  <c r="S36" i="12"/>
  <c r="V36" i="12"/>
  <c r="U36" i="12"/>
  <c r="V17" i="12"/>
  <c r="J17" i="12"/>
  <c r="U17" i="12"/>
  <c r="T17" i="12"/>
  <c r="S17" i="12"/>
  <c r="V25" i="12"/>
  <c r="U25" i="12"/>
  <c r="T25" i="12"/>
  <c r="S25" i="12"/>
  <c r="V33" i="12"/>
  <c r="U33" i="12"/>
  <c r="T33" i="12"/>
  <c r="S33" i="12"/>
  <c r="S38" i="12"/>
  <c r="V38" i="12"/>
  <c r="U38" i="12"/>
  <c r="T38" i="12"/>
  <c r="S46" i="12"/>
  <c r="V46" i="12"/>
  <c r="U46" i="12"/>
  <c r="T46" i="12"/>
  <c r="S54" i="12"/>
  <c r="V54" i="12"/>
  <c r="U54" i="12"/>
  <c r="T54" i="12"/>
  <c r="T62" i="12"/>
  <c r="O62" i="12"/>
  <c r="J62" i="12"/>
  <c r="S62" i="12"/>
  <c r="N62" i="12"/>
  <c r="V62" i="12"/>
  <c r="Q62" i="12"/>
  <c r="M62" i="12"/>
  <c r="H62" i="12"/>
  <c r="K62" i="12"/>
  <c r="G62" i="12"/>
  <c r="U62" i="12"/>
  <c r="P62" i="12"/>
  <c r="N107" i="12"/>
  <c r="G107" i="12"/>
  <c r="Q107" i="12"/>
  <c r="M107" i="12"/>
  <c r="P107" i="12"/>
  <c r="J107" i="12"/>
  <c r="O107" i="12"/>
  <c r="H107" i="12"/>
  <c r="U95" i="12"/>
  <c r="P95" i="12"/>
  <c r="K95" i="12"/>
  <c r="G95" i="12"/>
  <c r="T95" i="12"/>
  <c r="O95" i="12"/>
  <c r="J95" i="12"/>
  <c r="S95" i="12"/>
  <c r="N95" i="12"/>
  <c r="H95" i="12"/>
  <c r="V95" i="12"/>
  <c r="Q95" i="12"/>
  <c r="M95" i="12"/>
  <c r="U43" i="12"/>
  <c r="T43" i="12"/>
  <c r="S43" i="12"/>
  <c r="V43" i="12"/>
  <c r="U51" i="12"/>
  <c r="T51" i="12"/>
  <c r="S51" i="12"/>
  <c r="V51" i="12"/>
  <c r="U59" i="12"/>
  <c r="T59" i="12"/>
  <c r="S59" i="12"/>
  <c r="V59" i="12"/>
  <c r="T64" i="12"/>
  <c r="O64" i="12"/>
  <c r="J64" i="12"/>
  <c r="V64" i="12"/>
  <c r="Q64" i="12"/>
  <c r="M64" i="12"/>
  <c r="H64" i="12"/>
  <c r="N64" i="12"/>
  <c r="U64" i="12"/>
  <c r="K64" i="12"/>
  <c r="S64" i="12"/>
  <c r="P64" i="12"/>
  <c r="G64" i="12"/>
  <c r="T80" i="12"/>
  <c r="O80" i="12"/>
  <c r="J80" i="12"/>
  <c r="S80" i="12"/>
  <c r="N80" i="12"/>
  <c r="V80" i="12"/>
  <c r="Q80" i="12"/>
  <c r="M80" i="12"/>
  <c r="H80" i="12"/>
  <c r="G80" i="12"/>
  <c r="U80" i="12"/>
  <c r="P80" i="12"/>
  <c r="K80" i="12"/>
  <c r="T96" i="12"/>
  <c r="O96" i="12"/>
  <c r="J96" i="12"/>
  <c r="S96" i="12"/>
  <c r="N96" i="12"/>
  <c r="V96" i="12"/>
  <c r="Q96" i="12"/>
  <c r="M96" i="12"/>
  <c r="H96" i="12"/>
  <c r="G96" i="12"/>
  <c r="U96" i="12"/>
  <c r="P96" i="12"/>
  <c r="K96" i="12"/>
  <c r="S77" i="12"/>
  <c r="N77" i="12"/>
  <c r="V77" i="12"/>
  <c r="Q77" i="12"/>
  <c r="M77" i="12"/>
  <c r="H77" i="12"/>
  <c r="U77" i="12"/>
  <c r="P77" i="12"/>
  <c r="K77" i="12"/>
  <c r="G77" i="12"/>
  <c r="J77" i="12"/>
  <c r="T77" i="12"/>
  <c r="O77" i="12"/>
  <c r="S93" i="12"/>
  <c r="N93" i="12"/>
  <c r="V93" i="12"/>
  <c r="Q93" i="12"/>
  <c r="M93" i="12"/>
  <c r="H93" i="12"/>
  <c r="U93" i="12"/>
  <c r="P93" i="12"/>
  <c r="K93" i="12"/>
  <c r="G93" i="12"/>
  <c r="J93" i="12"/>
  <c r="T93" i="12"/>
  <c r="O93" i="12"/>
  <c r="P122" i="12"/>
  <c r="J122" i="12"/>
  <c r="N122" i="12"/>
  <c r="G122" i="12"/>
  <c r="M122" i="12"/>
  <c r="H122" i="12"/>
  <c r="Q122" i="12"/>
  <c r="O122" i="12"/>
  <c r="V74" i="12"/>
  <c r="Q74" i="12"/>
  <c r="M74" i="12"/>
  <c r="H74" i="12"/>
  <c r="U74" i="12"/>
  <c r="P74" i="12"/>
  <c r="K74" i="12"/>
  <c r="G74" i="12"/>
  <c r="T74" i="12"/>
  <c r="O74" i="12"/>
  <c r="J74" i="12"/>
  <c r="N74" i="12"/>
  <c r="S74" i="12"/>
  <c r="V90" i="12"/>
  <c r="Q90" i="12"/>
  <c r="M90" i="12"/>
  <c r="H90" i="12"/>
  <c r="U90" i="12"/>
  <c r="P90" i="12"/>
  <c r="K90" i="12"/>
  <c r="G90" i="12"/>
  <c r="T90" i="12"/>
  <c r="O90" i="12"/>
  <c r="J90" i="12"/>
  <c r="N90" i="12"/>
  <c r="S90" i="12"/>
  <c r="T16" i="12"/>
  <c r="S16" i="12"/>
  <c r="V16" i="12"/>
  <c r="J16" i="12"/>
  <c r="U16" i="12"/>
  <c r="T30" i="12"/>
  <c r="S30" i="12"/>
  <c r="V30" i="12"/>
  <c r="U30" i="12"/>
  <c r="T34" i="12"/>
  <c r="S34" i="12"/>
  <c r="V34" i="12"/>
  <c r="U34" i="12"/>
  <c r="T12" i="12"/>
  <c r="S12" i="12"/>
  <c r="V12" i="12"/>
  <c r="J12" i="12"/>
  <c r="U12" i="12"/>
  <c r="V11" i="12"/>
  <c r="J11" i="12"/>
  <c r="U11" i="12"/>
  <c r="T11" i="12"/>
  <c r="S11" i="12"/>
  <c r="V19" i="12"/>
  <c r="U19" i="12"/>
  <c r="T19" i="12"/>
  <c r="S19" i="12"/>
  <c r="V27" i="12"/>
  <c r="U27" i="12"/>
  <c r="T27" i="12"/>
  <c r="S27" i="12"/>
  <c r="V35" i="12"/>
  <c r="U35" i="12"/>
  <c r="T35" i="12"/>
  <c r="S35" i="12"/>
  <c r="S40" i="12"/>
  <c r="V40" i="12"/>
  <c r="U40" i="12"/>
  <c r="T40" i="12"/>
  <c r="S48" i="12"/>
  <c r="V48" i="12"/>
  <c r="U48" i="12"/>
  <c r="T48" i="12"/>
  <c r="S56" i="12"/>
  <c r="V56" i="12"/>
  <c r="U56" i="12"/>
  <c r="T56" i="12"/>
  <c r="S69" i="12"/>
  <c r="N69" i="12"/>
  <c r="U69" i="12"/>
  <c r="P69" i="12"/>
  <c r="K69" i="12"/>
  <c r="G69" i="12"/>
  <c r="Q69" i="12"/>
  <c r="H69" i="12"/>
  <c r="O69" i="12"/>
  <c r="V69" i="12"/>
  <c r="M69" i="12"/>
  <c r="T69" i="12"/>
  <c r="J69" i="12"/>
  <c r="S63" i="12"/>
  <c r="N63" i="12"/>
  <c r="V63" i="12"/>
  <c r="Q63" i="12"/>
  <c r="M63" i="12"/>
  <c r="H63" i="12"/>
  <c r="U63" i="12"/>
  <c r="P63" i="12"/>
  <c r="K63" i="12"/>
  <c r="G63" i="12"/>
  <c r="J63" i="12"/>
  <c r="T63" i="12"/>
  <c r="O63" i="12"/>
  <c r="S99" i="12"/>
  <c r="N99" i="12"/>
  <c r="V99" i="12"/>
  <c r="Q99" i="12"/>
  <c r="M99" i="12"/>
  <c r="U99" i="12"/>
  <c r="P99" i="12"/>
  <c r="K99" i="12"/>
  <c r="G99" i="12"/>
  <c r="J99" i="12"/>
  <c r="H99" i="12"/>
  <c r="T99" i="12"/>
  <c r="O99" i="12"/>
  <c r="U45" i="12"/>
  <c r="T45" i="12"/>
  <c r="S45" i="12"/>
  <c r="V45" i="12"/>
  <c r="U53" i="12"/>
  <c r="T53" i="12"/>
  <c r="S53" i="12"/>
  <c r="V53" i="12"/>
  <c r="U61" i="12"/>
  <c r="T61" i="12"/>
  <c r="S61" i="12"/>
  <c r="V61" i="12"/>
  <c r="T68" i="12"/>
  <c r="O68" i="12"/>
  <c r="J68" i="12"/>
  <c r="V68" i="12"/>
  <c r="Q68" i="12"/>
  <c r="M68" i="12"/>
  <c r="H68" i="12"/>
  <c r="S68" i="12"/>
  <c r="P68" i="12"/>
  <c r="G68" i="12"/>
  <c r="N68" i="12"/>
  <c r="K68" i="12"/>
  <c r="U68" i="12"/>
  <c r="T84" i="12"/>
  <c r="O84" i="12"/>
  <c r="J84" i="12"/>
  <c r="S84" i="12"/>
  <c r="N84" i="12"/>
  <c r="V84" i="12"/>
  <c r="Q84" i="12"/>
  <c r="M84" i="12"/>
  <c r="H84" i="12"/>
  <c r="U84" i="12"/>
  <c r="P84" i="12"/>
  <c r="K84" i="12"/>
  <c r="G84" i="12"/>
  <c r="N103" i="12"/>
  <c r="G103" i="12"/>
  <c r="Q103" i="12"/>
  <c r="M103" i="12"/>
  <c r="P103" i="12"/>
  <c r="J103" i="12"/>
  <c r="O103" i="12"/>
  <c r="H103" i="12"/>
  <c r="S81" i="12"/>
  <c r="N81" i="12"/>
  <c r="V81" i="12"/>
  <c r="Q81" i="12"/>
  <c r="M81" i="12"/>
  <c r="H81" i="12"/>
  <c r="U81" i="12"/>
  <c r="P81" i="12"/>
  <c r="K81" i="12"/>
  <c r="G81" i="12"/>
  <c r="T81" i="12"/>
  <c r="O81" i="12"/>
  <c r="J81" i="12"/>
  <c r="S97" i="12"/>
  <c r="N97" i="12"/>
  <c r="V97" i="12"/>
  <c r="Q97" i="12"/>
  <c r="M97" i="12"/>
  <c r="H97" i="12"/>
  <c r="U97" i="12"/>
  <c r="P97" i="12"/>
  <c r="K97" i="12"/>
  <c r="G97" i="12"/>
  <c r="T97" i="12"/>
  <c r="O97" i="12"/>
  <c r="J97" i="12"/>
  <c r="N136" i="12"/>
  <c r="G136" i="12"/>
  <c r="Q136" i="12"/>
  <c r="M136" i="12"/>
  <c r="P136" i="12"/>
  <c r="J136" i="12"/>
  <c r="O136" i="12"/>
  <c r="H136" i="12"/>
  <c r="V78" i="12"/>
  <c r="Q78" i="12"/>
  <c r="M78" i="12"/>
  <c r="H78" i="12"/>
  <c r="U78" i="12"/>
  <c r="P78" i="12"/>
  <c r="K78" i="12"/>
  <c r="G78" i="12"/>
  <c r="T78" i="12"/>
  <c r="O78" i="12"/>
  <c r="J78" i="12"/>
  <c r="S78" i="12"/>
  <c r="N78" i="12"/>
  <c r="V94" i="12"/>
  <c r="Q94" i="12"/>
  <c r="M94" i="12"/>
  <c r="H94" i="12"/>
  <c r="U94" i="12"/>
  <c r="P94" i="12"/>
  <c r="K94" i="12"/>
  <c r="G94" i="12"/>
  <c r="T94" i="12"/>
  <c r="O94" i="12"/>
  <c r="J94" i="12"/>
  <c r="S94" i="12"/>
  <c r="N94" i="12"/>
  <c r="T24" i="12"/>
  <c r="S24" i="12"/>
  <c r="V24" i="12"/>
  <c r="U24" i="12"/>
  <c r="T10" i="12"/>
  <c r="S10" i="12"/>
  <c r="V10" i="12"/>
  <c r="J10" i="12"/>
  <c r="U10" i="12"/>
  <c r="T14" i="12"/>
  <c r="S14" i="12"/>
  <c r="V14" i="12"/>
  <c r="U14" i="12"/>
  <c r="T20" i="12"/>
  <c r="S20" i="12"/>
  <c r="V20" i="12"/>
  <c r="U20" i="12"/>
  <c r="V13" i="12"/>
  <c r="J13" i="12"/>
  <c r="U13" i="12"/>
  <c r="T13" i="12"/>
  <c r="S13" i="12"/>
  <c r="V21" i="12"/>
  <c r="J21" i="12"/>
  <c r="U21" i="12"/>
  <c r="T21" i="12"/>
  <c r="S21" i="12"/>
  <c r="V29" i="12"/>
  <c r="J29" i="12"/>
  <c r="U29" i="12"/>
  <c r="T29" i="12"/>
  <c r="S29" i="12"/>
  <c r="U37" i="12"/>
  <c r="S37" i="12"/>
  <c r="T37" i="12"/>
  <c r="V37" i="12"/>
  <c r="S42" i="12"/>
  <c r="V42" i="12"/>
  <c r="U42" i="12"/>
  <c r="T42" i="12"/>
  <c r="S50" i="12"/>
  <c r="V50" i="12"/>
  <c r="U50" i="12"/>
  <c r="T50" i="12"/>
  <c r="S58" i="12"/>
  <c r="V58" i="12"/>
  <c r="U58" i="12"/>
  <c r="T58" i="12"/>
  <c r="U75" i="12"/>
  <c r="P75" i="12"/>
  <c r="K75" i="12"/>
  <c r="G75" i="12"/>
  <c r="T75" i="12"/>
  <c r="O75" i="12"/>
  <c r="J75" i="12"/>
  <c r="S75" i="12"/>
  <c r="N75" i="12"/>
  <c r="M75" i="12"/>
  <c r="H75" i="12"/>
  <c r="V75" i="12"/>
  <c r="Q75" i="12"/>
  <c r="U71" i="12"/>
  <c r="P71" i="12"/>
  <c r="K71" i="12"/>
  <c r="G71" i="12"/>
  <c r="T71" i="12"/>
  <c r="O71" i="12"/>
  <c r="S71" i="12"/>
  <c r="N71" i="12"/>
  <c r="Q71" i="12"/>
  <c r="M71" i="12"/>
  <c r="J71" i="12"/>
  <c r="V71" i="12"/>
  <c r="H71" i="12"/>
  <c r="U39" i="12"/>
  <c r="T39" i="12"/>
  <c r="S39" i="12"/>
  <c r="V39" i="12"/>
  <c r="U47" i="12"/>
  <c r="T47" i="12"/>
  <c r="S47" i="12"/>
  <c r="V47" i="12"/>
  <c r="U55" i="12"/>
  <c r="T55" i="12"/>
  <c r="S55" i="12"/>
  <c r="V55" i="12"/>
  <c r="S65" i="12"/>
  <c r="N65" i="12"/>
  <c r="U65" i="12"/>
  <c r="P65" i="12"/>
  <c r="K65" i="12"/>
  <c r="G65" i="12"/>
  <c r="V65" i="12"/>
  <c r="M65" i="12"/>
  <c r="T65" i="12"/>
  <c r="J65" i="12"/>
  <c r="Q65" i="12"/>
  <c r="H65" i="12"/>
  <c r="O65" i="12"/>
  <c r="T72" i="12"/>
  <c r="O72" i="12"/>
  <c r="J72" i="12"/>
  <c r="S72" i="12"/>
  <c r="N72" i="12"/>
  <c r="V72" i="12"/>
  <c r="Q72" i="12"/>
  <c r="M72" i="12"/>
  <c r="H72" i="12"/>
  <c r="P72" i="12"/>
  <c r="K72" i="12"/>
  <c r="G72" i="12"/>
  <c r="U72" i="12"/>
  <c r="T88" i="12"/>
  <c r="O88" i="12"/>
  <c r="J88" i="12"/>
  <c r="S88" i="12"/>
  <c r="N88" i="12"/>
  <c r="V88" i="12"/>
  <c r="Q88" i="12"/>
  <c r="M88" i="12"/>
  <c r="H88" i="12"/>
  <c r="P88" i="12"/>
  <c r="K88" i="12"/>
  <c r="G88" i="12"/>
  <c r="U88" i="12"/>
  <c r="Q119" i="12"/>
  <c r="O119" i="12"/>
  <c r="N119" i="12"/>
  <c r="G119" i="12"/>
  <c r="M119" i="12"/>
  <c r="J119" i="12"/>
  <c r="P119" i="12"/>
  <c r="H119" i="12"/>
  <c r="S85" i="12"/>
  <c r="N85" i="12"/>
  <c r="V85" i="12"/>
  <c r="Q85" i="12"/>
  <c r="M85" i="12"/>
  <c r="H85" i="12"/>
  <c r="U85" i="12"/>
  <c r="P85" i="12"/>
  <c r="K85" i="12"/>
  <c r="G85" i="12"/>
  <c r="T85" i="12"/>
  <c r="O85" i="12"/>
  <c r="J85" i="12"/>
  <c r="U101" i="12"/>
  <c r="P101" i="12"/>
  <c r="K101" i="12"/>
  <c r="G101" i="12"/>
  <c r="T101" i="12"/>
  <c r="O101" i="12"/>
  <c r="J101" i="12"/>
  <c r="S101" i="12"/>
  <c r="N101" i="12"/>
  <c r="H101" i="12"/>
  <c r="V101" i="12"/>
  <c r="Q101" i="12"/>
  <c r="M101" i="12"/>
  <c r="V66" i="12"/>
  <c r="Q66" i="12"/>
  <c r="M66" i="12"/>
  <c r="H66" i="12"/>
  <c r="T66" i="12"/>
  <c r="O66" i="12"/>
  <c r="J66" i="12"/>
  <c r="U66" i="12"/>
  <c r="K66" i="12"/>
  <c r="S66" i="12"/>
  <c r="P66" i="12"/>
  <c r="G66" i="12"/>
  <c r="N66" i="12"/>
  <c r="V82" i="12"/>
  <c r="Q82" i="12"/>
  <c r="M82" i="12"/>
  <c r="H82" i="12"/>
  <c r="U82" i="12"/>
  <c r="P82" i="12"/>
  <c r="K82" i="12"/>
  <c r="G82" i="12"/>
  <c r="T82" i="12"/>
  <c r="O82" i="12"/>
  <c r="J82" i="12"/>
  <c r="S82" i="12"/>
  <c r="N82" i="12"/>
  <c r="V98" i="12"/>
  <c r="Q98" i="12"/>
  <c r="M98" i="12"/>
  <c r="H98" i="12"/>
  <c r="U98" i="12"/>
  <c r="O98" i="12"/>
  <c r="T98" i="12"/>
  <c r="N98" i="12"/>
  <c r="G98" i="12"/>
  <c r="S98" i="12"/>
  <c r="K98" i="12"/>
  <c r="P98" i="12"/>
  <c r="J98" i="12"/>
  <c r="T8" i="12"/>
  <c r="V8" i="12"/>
  <c r="S8" i="12"/>
  <c r="U8" i="12"/>
  <c r="T32" i="12"/>
  <c r="S32" i="12"/>
  <c r="V32" i="12"/>
  <c r="U32" i="12"/>
  <c r="T18" i="12"/>
  <c r="S18" i="12"/>
  <c r="V18" i="12"/>
  <c r="J18" i="12"/>
  <c r="U18" i="12"/>
  <c r="T22" i="12"/>
  <c r="S22" i="12"/>
  <c r="V22" i="12"/>
  <c r="U22" i="12"/>
  <c r="T28" i="12"/>
  <c r="S28" i="12"/>
  <c r="V28" i="12"/>
  <c r="U28" i="12"/>
  <c r="V15" i="12"/>
  <c r="J15" i="12"/>
  <c r="U15" i="12"/>
  <c r="T15" i="12"/>
  <c r="S15" i="12"/>
  <c r="V23" i="12"/>
  <c r="U23" i="12"/>
  <c r="T23" i="12"/>
  <c r="S23" i="12"/>
  <c r="V31" i="12"/>
  <c r="U31" i="12"/>
  <c r="T31" i="12"/>
  <c r="S31" i="12"/>
  <c r="U87" i="12"/>
  <c r="P87" i="12"/>
  <c r="K87" i="12"/>
  <c r="G87" i="12"/>
  <c r="T87" i="12"/>
  <c r="O87" i="12"/>
  <c r="J87" i="12"/>
  <c r="S87" i="12"/>
  <c r="N87" i="12"/>
  <c r="Q87" i="12"/>
  <c r="M87" i="12"/>
  <c r="H87" i="12"/>
  <c r="V87" i="12"/>
  <c r="S44" i="12"/>
  <c r="V44" i="12"/>
  <c r="U44" i="12"/>
  <c r="T44" i="12"/>
  <c r="S52" i="12"/>
  <c r="V52" i="12"/>
  <c r="U52" i="12"/>
  <c r="T52" i="12"/>
  <c r="S60" i="12"/>
  <c r="V60" i="12"/>
  <c r="U60" i="12"/>
  <c r="T60" i="12"/>
  <c r="U91" i="12"/>
  <c r="P91" i="12"/>
  <c r="K91" i="12"/>
  <c r="G91" i="12"/>
  <c r="T91" i="12"/>
  <c r="O91" i="12"/>
  <c r="J91" i="12"/>
  <c r="S91" i="12"/>
  <c r="N91" i="12"/>
  <c r="M91" i="12"/>
  <c r="H91" i="12"/>
  <c r="V91" i="12"/>
  <c r="Q91" i="12"/>
  <c r="U79" i="12"/>
  <c r="P79" i="12"/>
  <c r="K79" i="12"/>
  <c r="G79" i="12"/>
  <c r="T79" i="12"/>
  <c r="O79" i="12"/>
  <c r="J79" i="12"/>
  <c r="S79" i="12"/>
  <c r="N79" i="12"/>
  <c r="H79" i="12"/>
  <c r="V79" i="12"/>
  <c r="Q79" i="12"/>
  <c r="M79" i="12"/>
  <c r="U41" i="12"/>
  <c r="T41" i="12"/>
  <c r="S41" i="12"/>
  <c r="V41" i="12"/>
  <c r="U49" i="12"/>
  <c r="T49" i="12"/>
  <c r="S49" i="12"/>
  <c r="V49" i="12"/>
  <c r="U57" i="12"/>
  <c r="T57" i="12"/>
  <c r="S57" i="12"/>
  <c r="V57" i="12"/>
  <c r="U83" i="12"/>
  <c r="P83" i="12"/>
  <c r="K83" i="12"/>
  <c r="G83" i="12"/>
  <c r="T83" i="12"/>
  <c r="O83" i="12"/>
  <c r="J83" i="12"/>
  <c r="S83" i="12"/>
  <c r="N83" i="12"/>
  <c r="V83" i="12"/>
  <c r="Q83" i="12"/>
  <c r="M83" i="12"/>
  <c r="H83" i="12"/>
  <c r="T76" i="12"/>
  <c r="O76" i="12"/>
  <c r="J76" i="12"/>
  <c r="S76" i="12"/>
  <c r="N76" i="12"/>
  <c r="V76" i="12"/>
  <c r="Q76" i="12"/>
  <c r="M76" i="12"/>
  <c r="H76" i="12"/>
  <c r="K76" i="12"/>
  <c r="G76" i="12"/>
  <c r="U76" i="12"/>
  <c r="P76" i="12"/>
  <c r="T92" i="12"/>
  <c r="O92" i="12"/>
  <c r="J92" i="12"/>
  <c r="S92" i="12"/>
  <c r="N92" i="12"/>
  <c r="V92" i="12"/>
  <c r="Q92" i="12"/>
  <c r="M92" i="12"/>
  <c r="H92" i="12"/>
  <c r="K92" i="12"/>
  <c r="G92" i="12"/>
  <c r="U92" i="12"/>
  <c r="P92" i="12"/>
  <c r="S73" i="12"/>
  <c r="N73" i="12"/>
  <c r="V73" i="12"/>
  <c r="Q73" i="12"/>
  <c r="M73" i="12"/>
  <c r="H73" i="12"/>
  <c r="U73" i="12"/>
  <c r="P73" i="12"/>
  <c r="K73" i="12"/>
  <c r="G73" i="12"/>
  <c r="O73" i="12"/>
  <c r="J73" i="12"/>
  <c r="T73" i="12"/>
  <c r="S89" i="12"/>
  <c r="N89" i="12"/>
  <c r="V89" i="12"/>
  <c r="Q89" i="12"/>
  <c r="M89" i="12"/>
  <c r="H89" i="12"/>
  <c r="U89" i="12"/>
  <c r="P89" i="12"/>
  <c r="K89" i="12"/>
  <c r="G89" i="12"/>
  <c r="O89" i="12"/>
  <c r="J89" i="12"/>
  <c r="T89" i="12"/>
  <c r="N115" i="12"/>
  <c r="G115" i="12"/>
  <c r="Q115" i="12"/>
  <c r="M115" i="12"/>
  <c r="P115" i="12"/>
  <c r="J115" i="12"/>
  <c r="H115" i="12"/>
  <c r="O115" i="12"/>
  <c r="V70" i="12"/>
  <c r="Q70" i="12"/>
  <c r="M70" i="12"/>
  <c r="H70" i="12"/>
  <c r="T70" i="12"/>
  <c r="O70" i="12"/>
  <c r="J70" i="12"/>
  <c r="P70" i="12"/>
  <c r="G70" i="12"/>
  <c r="N70" i="12"/>
  <c r="U70" i="12"/>
  <c r="K70" i="12"/>
  <c r="S70" i="12"/>
  <c r="V86" i="12"/>
  <c r="Q86" i="12"/>
  <c r="M86" i="12"/>
  <c r="H86" i="12"/>
  <c r="U86" i="12"/>
  <c r="P86" i="12"/>
  <c r="K86" i="12"/>
  <c r="G86" i="12"/>
  <c r="T86" i="12"/>
  <c r="O86" i="12"/>
  <c r="J86" i="12"/>
  <c r="S86" i="12"/>
  <c r="N86" i="12"/>
  <c r="N111" i="12"/>
  <c r="G111" i="12"/>
  <c r="Q111" i="12"/>
  <c r="M111" i="12"/>
  <c r="P111" i="12"/>
  <c r="J111" i="12"/>
  <c r="O111" i="12"/>
  <c r="H111" i="12"/>
  <c r="Q114" i="12"/>
  <c r="M114" i="12"/>
  <c r="P114" i="12"/>
  <c r="J114" i="12"/>
  <c r="O114" i="12"/>
  <c r="H114" i="12"/>
  <c r="N114" i="12"/>
  <c r="G114" i="12"/>
  <c r="P146" i="12"/>
  <c r="J146" i="12"/>
  <c r="N146" i="12"/>
  <c r="G146" i="12"/>
  <c r="M146" i="12"/>
  <c r="H146" i="12"/>
  <c r="Q146" i="12"/>
  <c r="O146" i="12"/>
  <c r="P113" i="12"/>
  <c r="J113" i="12"/>
  <c r="O113" i="12"/>
  <c r="H113" i="12"/>
  <c r="N113" i="12"/>
  <c r="G113" i="12"/>
  <c r="Q113" i="12"/>
  <c r="M113" i="12"/>
  <c r="O104" i="12"/>
  <c r="H104" i="12"/>
  <c r="N104" i="12"/>
  <c r="G104" i="12"/>
  <c r="Q104" i="12"/>
  <c r="M104" i="12"/>
  <c r="P104" i="12"/>
  <c r="J104" i="12"/>
  <c r="N124" i="12"/>
  <c r="G124" i="12"/>
  <c r="P124" i="12"/>
  <c r="J124" i="12"/>
  <c r="O124" i="12"/>
  <c r="M124" i="12"/>
  <c r="H124" i="12"/>
  <c r="Q124" i="12"/>
  <c r="Q131" i="12"/>
  <c r="M131" i="12"/>
  <c r="P131" i="12"/>
  <c r="J131" i="12"/>
  <c r="O131" i="12"/>
  <c r="H131" i="12"/>
  <c r="G131" i="12"/>
  <c r="N131" i="12"/>
  <c r="N152" i="12"/>
  <c r="G152" i="12"/>
  <c r="Q152" i="12"/>
  <c r="M152" i="12"/>
  <c r="P152" i="12"/>
  <c r="J152" i="12"/>
  <c r="O152" i="12"/>
  <c r="H152" i="12"/>
  <c r="P134" i="12"/>
  <c r="J134" i="12"/>
  <c r="O134" i="12"/>
  <c r="H134" i="12"/>
  <c r="N134" i="12"/>
  <c r="G134" i="12"/>
  <c r="Q134" i="12"/>
  <c r="M134" i="12"/>
  <c r="N164" i="12"/>
  <c r="G164" i="12"/>
  <c r="Q164" i="12"/>
  <c r="M164" i="12"/>
  <c r="P164" i="12"/>
  <c r="J164" i="12"/>
  <c r="H164" i="12"/>
  <c r="O164" i="12"/>
  <c r="O133" i="12"/>
  <c r="H133" i="12"/>
  <c r="N133" i="12"/>
  <c r="G133" i="12"/>
  <c r="Q133" i="12"/>
  <c r="M133" i="12"/>
  <c r="P133" i="12"/>
  <c r="J133" i="12"/>
  <c r="Q143" i="12"/>
  <c r="M143" i="12"/>
  <c r="O143" i="12"/>
  <c r="H143" i="12"/>
  <c r="N143" i="12"/>
  <c r="J143" i="12"/>
  <c r="G143" i="12"/>
  <c r="P143" i="12"/>
  <c r="Q159" i="12"/>
  <c r="M159" i="12"/>
  <c r="P159" i="12"/>
  <c r="J159" i="12"/>
  <c r="O159" i="12"/>
  <c r="H159" i="12"/>
  <c r="N159" i="12"/>
  <c r="G159" i="12"/>
  <c r="P150" i="12"/>
  <c r="J150" i="12"/>
  <c r="O150" i="12"/>
  <c r="H150" i="12"/>
  <c r="N150" i="12"/>
  <c r="G150" i="12"/>
  <c r="Q150" i="12"/>
  <c r="M150" i="12"/>
  <c r="P166" i="12"/>
  <c r="J166" i="12"/>
  <c r="O166" i="12"/>
  <c r="H166" i="12"/>
  <c r="N166" i="12"/>
  <c r="G166" i="12"/>
  <c r="Q166" i="12"/>
  <c r="M166" i="12"/>
  <c r="O153" i="12"/>
  <c r="H153" i="12"/>
  <c r="N153" i="12"/>
  <c r="G153" i="12"/>
  <c r="Q153" i="12"/>
  <c r="M153" i="12"/>
  <c r="P153" i="12"/>
  <c r="J153" i="12"/>
  <c r="O169" i="12"/>
  <c r="H169" i="12"/>
  <c r="N169" i="12"/>
  <c r="G169" i="12"/>
  <c r="Q169" i="12"/>
  <c r="M169" i="12"/>
  <c r="P169" i="12"/>
  <c r="J169" i="12"/>
  <c r="T15" i="1"/>
  <c r="V61" i="1"/>
  <c r="U7" i="1"/>
  <c r="U54" i="1"/>
  <c r="S7" i="1"/>
  <c r="T57" i="1"/>
  <c r="V20" i="1"/>
  <c r="T22" i="1"/>
  <c r="T39" i="1"/>
  <c r="T21" i="1"/>
  <c r="S9" i="1"/>
  <c r="S31" i="1"/>
  <c r="V59" i="1"/>
  <c r="T34" i="1"/>
  <c r="U29" i="1"/>
  <c r="U53" i="1"/>
  <c r="T30" i="1"/>
  <c r="U47" i="1"/>
  <c r="S24" i="1"/>
  <c r="T40" i="1"/>
  <c r="U62" i="1"/>
  <c r="T50" i="1"/>
  <c r="S62" i="1"/>
  <c r="V33" i="1"/>
  <c r="T62" i="1"/>
  <c r="V74" i="1"/>
  <c r="S25" i="1"/>
  <c r="V38" i="1"/>
  <c r="V39" i="1"/>
  <c r="V21" i="1"/>
  <c r="U11" i="1"/>
  <c r="T33" i="1"/>
  <c r="U13" i="1"/>
  <c r="U73" i="1"/>
  <c r="T80" i="1"/>
  <c r="T69" i="1"/>
  <c r="S32" i="1"/>
  <c r="U16" i="1"/>
  <c r="U59" i="1"/>
  <c r="S17" i="1"/>
  <c r="S34" i="1"/>
  <c r="U42" i="1"/>
  <c r="S45" i="1"/>
  <c r="V29" i="1"/>
  <c r="V52" i="1"/>
  <c r="U33" i="1"/>
  <c r="S38" i="1"/>
  <c r="T25" i="1"/>
  <c r="U9" i="1"/>
  <c r="S72" i="1"/>
  <c r="U86" i="1"/>
  <c r="U84" i="1"/>
  <c r="T77" i="1"/>
  <c r="U100" i="1"/>
  <c r="U92" i="1"/>
  <c r="V58" i="1"/>
  <c r="V44" i="1"/>
  <c r="V23" i="1"/>
  <c r="T60" i="1"/>
  <c r="V24" i="1"/>
  <c r="T28" i="1"/>
  <c r="U52" i="1"/>
  <c r="V57" i="1"/>
  <c r="T85" i="1"/>
  <c r="U81" i="1"/>
  <c r="U55" i="1"/>
  <c r="U31" i="1"/>
  <c r="T49" i="1"/>
  <c r="U15" i="1"/>
  <c r="S52" i="1"/>
  <c r="U39" i="1"/>
  <c r="S19" i="1"/>
  <c r="T20" i="1"/>
  <c r="V22" i="1"/>
  <c r="S11" i="1"/>
  <c r="S98" i="1"/>
  <c r="S82" i="1"/>
  <c r="V65" i="1"/>
  <c r="S94" i="1"/>
  <c r="S64" i="1"/>
  <c r="S36" i="1"/>
  <c r="S54" i="1"/>
  <c r="S48" i="1"/>
  <c r="U26" i="1"/>
  <c r="S18" i="1"/>
  <c r="V43" i="1"/>
  <c r="S29" i="1"/>
  <c r="U32" i="1"/>
  <c r="U41" i="1"/>
  <c r="U30" i="1"/>
  <c r="U17" i="1"/>
  <c r="S40" i="1"/>
  <c r="V62" i="1"/>
  <c r="U10" i="1"/>
  <c r="U12" i="1"/>
  <c r="U44" i="1"/>
  <c r="V35" i="1"/>
  <c r="T45" i="1"/>
  <c r="V42" i="1"/>
  <c r="T23" i="1"/>
  <c r="T46" i="1"/>
  <c r="S15" i="1"/>
  <c r="T59" i="1"/>
  <c r="S16" i="1"/>
  <c r="U14" i="1"/>
  <c r="V31" i="1"/>
  <c r="V41" i="1"/>
  <c r="S55" i="1"/>
  <c r="T31" i="1"/>
  <c r="V49" i="1"/>
  <c r="S59" i="1"/>
  <c r="V45" i="1"/>
  <c r="S42" i="1"/>
  <c r="T55" i="1"/>
  <c r="U34" i="1"/>
  <c r="S41" i="1"/>
  <c r="V55" i="1"/>
  <c r="T29" i="1"/>
  <c r="V34" i="1"/>
  <c r="V32" i="1"/>
  <c r="S49" i="1"/>
  <c r="U49" i="1"/>
  <c r="T32" i="1"/>
  <c r="T41" i="1"/>
  <c r="U45" i="1"/>
  <c r="T42" i="1"/>
  <c r="S14" i="1"/>
  <c r="U18" i="1"/>
  <c r="S27" i="1"/>
  <c r="U61" i="1"/>
  <c r="S61" i="1"/>
  <c r="V50" i="1"/>
  <c r="U43" i="1"/>
  <c r="U8" i="1"/>
  <c r="S37" i="1"/>
  <c r="V26" i="1"/>
  <c r="T61" i="1"/>
  <c r="S90" i="1"/>
  <c r="V54" i="1"/>
  <c r="U50" i="1"/>
  <c r="S43" i="1"/>
  <c r="S50" i="1"/>
  <c r="S8" i="1"/>
  <c r="U56" i="1"/>
  <c r="T36" i="1"/>
  <c r="V56" i="1"/>
  <c r="T48" i="1"/>
  <c r="T43" i="1"/>
  <c r="S44" i="1"/>
  <c r="U35" i="1"/>
  <c r="T35" i="1"/>
  <c r="S58" i="1"/>
  <c r="U58" i="1"/>
  <c r="V40" i="1"/>
  <c r="S53" i="1"/>
  <c r="V53" i="1"/>
  <c r="T44" i="1"/>
  <c r="S47" i="1"/>
  <c r="V47" i="1"/>
  <c r="U28" i="1"/>
  <c r="S30" i="1"/>
  <c r="U40" i="1"/>
  <c r="S10" i="1"/>
  <c r="S12" i="1"/>
  <c r="T53" i="1"/>
  <c r="S35" i="1"/>
  <c r="T47" i="1"/>
  <c r="V60" i="1"/>
  <c r="V28" i="1"/>
  <c r="S28" i="1"/>
  <c r="T58" i="1"/>
  <c r="V30" i="1"/>
  <c r="U24" i="1"/>
  <c r="T24" i="1"/>
  <c r="S23" i="1"/>
  <c r="U60" i="1"/>
  <c r="S60" i="1"/>
  <c r="S84" i="1"/>
  <c r="U23" i="1"/>
  <c r="S39" i="1"/>
  <c r="U20" i="1"/>
  <c r="U21" i="1"/>
  <c r="U22" i="1"/>
  <c r="U38" i="1"/>
  <c r="S13" i="1"/>
  <c r="V51" i="1"/>
  <c r="S33" i="1"/>
  <c r="S20" i="1"/>
  <c r="S22" i="1"/>
  <c r="U19" i="1"/>
  <c r="U57" i="1"/>
  <c r="S51" i="1"/>
  <c r="V25" i="1"/>
  <c r="T51" i="1"/>
  <c r="T52" i="1"/>
  <c r="S57" i="1"/>
  <c r="S21" i="1"/>
  <c r="T38" i="1"/>
  <c r="U51" i="1"/>
  <c r="U25" i="1"/>
  <c r="U37" i="1"/>
  <c r="U65" i="1"/>
  <c r="V27" i="1"/>
  <c r="U27" i="1"/>
  <c r="S95" i="1"/>
  <c r="V36" i="1"/>
  <c r="T54" i="1"/>
  <c r="V46" i="1"/>
  <c r="S46" i="1"/>
  <c r="T37" i="1"/>
  <c r="V37" i="1"/>
  <c r="T26" i="1"/>
  <c r="T27" i="1"/>
  <c r="V90" i="1"/>
  <c r="U46" i="1"/>
  <c r="U36" i="1"/>
  <c r="U90" i="1"/>
  <c r="S56" i="1"/>
  <c r="T56" i="1"/>
  <c r="U48" i="1"/>
  <c r="S26" i="1"/>
  <c r="V48" i="1"/>
  <c r="V97" i="1"/>
  <c r="V100" i="1"/>
  <c r="U87" i="1"/>
  <c r="V72" i="1"/>
  <c r="U97" i="1"/>
  <c r="V77" i="1"/>
  <c r="T92" i="1"/>
  <c r="V92" i="1"/>
  <c r="T87" i="1"/>
  <c r="U77" i="1"/>
  <c r="S92" i="1"/>
  <c r="V98" i="1"/>
  <c r="V82" i="1"/>
  <c r="T94" i="1"/>
  <c r="V78" i="1"/>
  <c r="U98" i="1"/>
  <c r="T64" i="1"/>
  <c r="S78" i="1"/>
  <c r="T90" i="1"/>
  <c r="U88" i="1"/>
  <c r="S75" i="1"/>
  <c r="S81" i="1"/>
  <c r="U101" i="1"/>
  <c r="S99" i="1"/>
  <c r="S91" i="1"/>
  <c r="T101" i="1"/>
  <c r="T99" i="1"/>
  <c r="S85" i="1"/>
  <c r="S89" i="1"/>
  <c r="S96" i="1"/>
  <c r="S74" i="1"/>
  <c r="V73" i="1"/>
  <c r="T89" i="1"/>
  <c r="V89" i="1"/>
  <c r="S63" i="1"/>
  <c r="T63" i="1"/>
  <c r="V63" i="1"/>
  <c r="U63" i="1"/>
  <c r="U93" i="1"/>
  <c r="V93" i="1"/>
  <c r="T93" i="1"/>
  <c r="S93" i="1"/>
  <c r="S79" i="1"/>
  <c r="S73" i="1"/>
  <c r="T73" i="1"/>
  <c r="V75" i="1"/>
  <c r="T75" i="1"/>
  <c r="U75" i="1"/>
  <c r="V66" i="1"/>
  <c r="V80" i="1"/>
  <c r="S80" i="1"/>
  <c r="U80" i="1"/>
  <c r="U89" i="1"/>
  <c r="U74" i="1"/>
  <c r="U76" i="1"/>
  <c r="T66" i="1"/>
  <c r="U66" i="1"/>
  <c r="T76" i="1"/>
  <c r="V76" i="1"/>
  <c r="S76" i="1"/>
  <c r="S66" i="1"/>
  <c r="V79" i="1"/>
  <c r="U79" i="1"/>
  <c r="T79" i="1"/>
  <c r="T74" i="1"/>
  <c r="U91" i="1"/>
  <c r="V101" i="1"/>
  <c r="T91" i="1"/>
  <c r="V91" i="1"/>
  <c r="S69" i="1"/>
  <c r="U69" i="1"/>
  <c r="V69" i="1"/>
  <c r="T96" i="1"/>
  <c r="U96" i="1"/>
  <c r="V99" i="1"/>
  <c r="V85" i="1"/>
  <c r="T81" i="1"/>
  <c r="S101" i="1"/>
  <c r="V96" i="1"/>
  <c r="U99" i="1"/>
  <c r="U85" i="1"/>
  <c r="V81" i="1"/>
  <c r="S87" i="1"/>
  <c r="V87" i="1"/>
  <c r="T84" i="1"/>
  <c r="S83" i="1"/>
  <c r="T67" i="1"/>
  <c r="V86" i="1"/>
  <c r="T72" i="1"/>
  <c r="U72" i="1"/>
  <c r="S97" i="1"/>
  <c r="T97" i="1"/>
  <c r="V71" i="1"/>
  <c r="U68" i="1"/>
  <c r="V68" i="1"/>
  <c r="S68" i="1"/>
  <c r="S71" i="1"/>
  <c r="T71" i="1"/>
  <c r="S77" i="1"/>
  <c r="V83" i="1"/>
  <c r="S100" i="1"/>
  <c r="V67" i="1"/>
  <c r="S86" i="1"/>
  <c r="V84" i="1"/>
  <c r="T68" i="1"/>
  <c r="U71" i="1"/>
  <c r="U83" i="1"/>
  <c r="T83" i="1"/>
  <c r="T100" i="1"/>
  <c r="S67" i="1"/>
  <c r="U67" i="1"/>
  <c r="T86" i="1"/>
  <c r="S65" i="1"/>
  <c r="T78" i="1"/>
  <c r="V88" i="1"/>
  <c r="T88" i="1"/>
  <c r="U82" i="1"/>
  <c r="T70" i="1"/>
  <c r="U70" i="1"/>
  <c r="T95" i="1"/>
  <c r="U94" i="1"/>
  <c r="T98" i="1"/>
  <c r="T82" i="1"/>
  <c r="V64" i="1"/>
  <c r="V70" i="1"/>
  <c r="U95" i="1"/>
  <c r="V95" i="1"/>
  <c r="U78" i="1"/>
  <c r="U64" i="1"/>
  <c r="T65" i="1"/>
  <c r="S70" i="1"/>
  <c r="V94" i="1"/>
  <c r="S88" i="1"/>
  <c r="C36" i="12"/>
  <c r="C43" i="1"/>
  <c r="C38" i="12"/>
  <c r="C31" i="1"/>
  <c r="C46" i="12"/>
  <c r="C58" i="12"/>
  <c r="C44" i="12"/>
  <c r="C44" i="1"/>
  <c r="C32" i="1"/>
  <c r="C54" i="12"/>
  <c r="C61" i="1"/>
  <c r="C42" i="12"/>
  <c r="C40" i="1"/>
  <c r="C49" i="12"/>
  <c r="C52" i="12"/>
  <c r="C39" i="12"/>
  <c r="C29" i="1"/>
  <c r="C55" i="1"/>
  <c r="C46" i="1"/>
  <c r="C55" i="12"/>
  <c r="C26" i="1"/>
  <c r="C45" i="12"/>
  <c r="C35" i="1"/>
  <c r="C25" i="1"/>
  <c r="C60" i="12"/>
  <c r="C53" i="1"/>
  <c r="C57" i="1"/>
  <c r="C51" i="12"/>
  <c r="C45" i="1"/>
  <c r="C42" i="1"/>
  <c r="C56" i="12"/>
  <c r="C28" i="1"/>
  <c r="C38" i="1"/>
  <c r="C50" i="1"/>
  <c r="C27" i="1"/>
  <c r="C40" i="12"/>
  <c r="C22" i="1"/>
  <c r="C30" i="1"/>
  <c r="C47" i="12"/>
  <c r="C52" i="1"/>
  <c r="C24" i="1"/>
  <c r="C61" i="12"/>
  <c r="C18" i="1"/>
  <c r="C58" i="1"/>
  <c r="C36" i="1"/>
  <c r="C47" i="1"/>
  <c r="C56" i="1"/>
  <c r="C23" i="1"/>
  <c r="C35" i="12"/>
  <c r="C34" i="12"/>
  <c r="C60" i="1"/>
  <c r="C41" i="12"/>
  <c r="C37" i="12"/>
  <c r="C51" i="1"/>
  <c r="C43" i="12"/>
  <c r="C50" i="12"/>
  <c r="C37" i="1"/>
  <c r="C54" i="1"/>
  <c r="C59" i="12"/>
  <c r="C59" i="1"/>
  <c r="C33" i="1"/>
  <c r="C41" i="1"/>
  <c r="C48" i="12"/>
  <c r="C34" i="1"/>
  <c r="C49" i="1"/>
  <c r="C20" i="1"/>
  <c r="C33" i="12"/>
  <c r="C53" i="12"/>
  <c r="C48" i="1"/>
  <c r="C39" i="1"/>
  <c r="C19" i="1"/>
  <c r="C57" i="12"/>
  <c r="C21" i="1"/>
  <c r="C14" i="1"/>
  <c r="C16" i="1"/>
  <c r="C9" i="1"/>
  <c r="C11" i="1"/>
  <c r="C10" i="1"/>
  <c r="C15" i="1"/>
  <c r="C17" i="1"/>
  <c r="C12" i="1"/>
  <c r="C13" i="1"/>
  <c r="C7" i="1"/>
  <c r="C8" i="1"/>
  <c r="J7" i="1" l="1"/>
  <c r="I7" i="1"/>
  <c r="K7" i="1"/>
  <c r="H7" i="1"/>
  <c r="G13" i="1"/>
  <c r="G12" i="1"/>
  <c r="G17" i="1"/>
  <c r="G15" i="1"/>
  <c r="G16" i="1"/>
  <c r="G14" i="1"/>
  <c r="G10" i="1"/>
  <c r="G11" i="1"/>
  <c r="G9" i="1"/>
  <c r="G8" i="1"/>
  <c r="H13" i="1"/>
  <c r="F13" i="1"/>
  <c r="H12" i="1"/>
  <c r="F12" i="1"/>
  <c r="H17" i="1"/>
  <c r="F17" i="1"/>
  <c r="F15" i="1"/>
  <c r="H15" i="1"/>
  <c r="F10" i="1"/>
  <c r="H10" i="1"/>
  <c r="F11" i="1"/>
  <c r="H11" i="1"/>
  <c r="F9" i="1"/>
  <c r="H9" i="1"/>
  <c r="H8" i="1"/>
  <c r="F8" i="1"/>
  <c r="F16" i="1"/>
  <c r="H16" i="1"/>
  <c r="F14" i="1"/>
  <c r="H14" i="1"/>
  <c r="J13" i="1"/>
  <c r="K13" i="1"/>
  <c r="I13" i="1"/>
  <c r="K12" i="1"/>
  <c r="I12" i="1"/>
  <c r="J12" i="1"/>
  <c r="K17" i="1"/>
  <c r="I17" i="1"/>
  <c r="J17" i="1"/>
  <c r="I15" i="1"/>
  <c r="K15" i="1"/>
  <c r="J15" i="1"/>
  <c r="K10" i="1"/>
  <c r="I10" i="1"/>
  <c r="J10" i="1"/>
  <c r="I11" i="1"/>
  <c r="K11" i="1"/>
  <c r="J11" i="1"/>
  <c r="I9" i="1"/>
  <c r="K9" i="1"/>
  <c r="J9" i="1"/>
  <c r="I8" i="1"/>
  <c r="J8" i="1"/>
  <c r="K8" i="1"/>
  <c r="K16" i="1"/>
  <c r="I16" i="1"/>
  <c r="J16" i="1"/>
  <c r="I14" i="1"/>
  <c r="J14" i="1"/>
  <c r="K14" i="1"/>
  <c r="F37" i="13"/>
  <c r="F19" i="13"/>
  <c r="F33" i="13"/>
  <c r="F11" i="13"/>
  <c r="K18" i="1"/>
  <c r="K19" i="1"/>
  <c r="K21" i="1"/>
  <c r="K20" i="1"/>
  <c r="K25" i="1"/>
  <c r="K28" i="1"/>
  <c r="K24" i="1"/>
  <c r="K30" i="1"/>
  <c r="K29" i="1"/>
  <c r="K31" i="1"/>
  <c r="K32" i="1"/>
  <c r="K22" i="1"/>
  <c r="K34" i="1"/>
  <c r="K26" i="1"/>
  <c r="K27" i="1"/>
  <c r="K33" i="1"/>
  <c r="K23" i="1"/>
  <c r="H18" i="1"/>
  <c r="H19" i="1"/>
  <c r="H21" i="1"/>
  <c r="H20" i="1"/>
  <c r="H25" i="1"/>
  <c r="H28" i="1"/>
  <c r="H24" i="1"/>
  <c r="H30" i="1"/>
  <c r="H29" i="1"/>
  <c r="H31" i="1"/>
  <c r="H32" i="1"/>
  <c r="H22" i="1"/>
  <c r="H34" i="1"/>
  <c r="H26" i="1"/>
  <c r="H27" i="1"/>
  <c r="H33" i="1"/>
  <c r="H23" i="1"/>
  <c r="M7" i="1"/>
  <c r="F17" i="13"/>
  <c r="F15" i="13"/>
  <c r="F52" i="13"/>
  <c r="I49" i="13"/>
  <c r="Q49" i="13" s="1"/>
  <c r="J33" i="13"/>
  <c r="F49" i="13"/>
  <c r="F36" i="13"/>
  <c r="K30" i="13"/>
  <c r="J48" i="13"/>
  <c r="Q48" i="13" s="1"/>
  <c r="K34" i="13"/>
  <c r="I33" i="13"/>
  <c r="I19" i="13"/>
  <c r="F29" i="13"/>
  <c r="F30" i="13"/>
  <c r="K23" i="13"/>
  <c r="J19" i="13"/>
  <c r="K29" i="13"/>
  <c r="J25" i="13"/>
  <c r="F56" i="13"/>
  <c r="F48" i="13"/>
  <c r="F40" i="13"/>
  <c r="K28" i="13"/>
  <c r="F28" i="13"/>
  <c r="J57" i="13"/>
  <c r="I57" i="13"/>
  <c r="K33" i="13"/>
  <c r="I23" i="13"/>
  <c r="I56" i="13"/>
  <c r="J56" i="13"/>
  <c r="J28" i="13"/>
  <c r="I47" i="13"/>
  <c r="Q47" i="13" s="1"/>
  <c r="K21" i="13"/>
  <c r="K22" i="13"/>
  <c r="K24" i="13"/>
  <c r="J27" i="13"/>
  <c r="I40" i="13"/>
  <c r="Q40" i="13" s="1"/>
  <c r="I28" i="13"/>
  <c r="F34" i="13"/>
  <c r="F31" i="13"/>
  <c r="I41" i="13"/>
  <c r="J41" i="13"/>
  <c r="I25" i="13"/>
  <c r="K25" i="13"/>
  <c r="F47" i="13"/>
  <c r="I39" i="13"/>
  <c r="Q39" i="13" s="1"/>
  <c r="F39" i="13"/>
  <c r="J59" i="1"/>
  <c r="F59" i="1"/>
  <c r="I59" i="1"/>
  <c r="J55" i="1"/>
  <c r="F55" i="1"/>
  <c r="I55" i="1"/>
  <c r="I41" i="1"/>
  <c r="J41" i="1"/>
  <c r="F41" i="1"/>
  <c r="J61" i="1"/>
  <c r="F61" i="1"/>
  <c r="I61" i="1"/>
  <c r="J21" i="1"/>
  <c r="I21" i="1"/>
  <c r="F21" i="1"/>
  <c r="J39" i="1"/>
  <c r="I39" i="1"/>
  <c r="F39" i="1"/>
  <c r="J38" i="1"/>
  <c r="I38" i="1"/>
  <c r="F38" i="1"/>
  <c r="J20" i="1"/>
  <c r="I20" i="1"/>
  <c r="F20" i="1"/>
  <c r="J25" i="1"/>
  <c r="I25" i="1"/>
  <c r="F25" i="1"/>
  <c r="I28" i="1"/>
  <c r="J28" i="1"/>
  <c r="F28" i="1"/>
  <c r="F50" i="1"/>
  <c r="J50" i="1"/>
  <c r="I50" i="1"/>
  <c r="I46" i="1"/>
  <c r="J46" i="1"/>
  <c r="F46" i="1"/>
  <c r="I37" i="1"/>
  <c r="J37" i="1"/>
  <c r="F37" i="1"/>
  <c r="F54" i="1"/>
  <c r="J54" i="1"/>
  <c r="I54" i="1"/>
  <c r="I56" i="1"/>
  <c r="J56" i="1"/>
  <c r="F56" i="1"/>
  <c r="I42" i="1"/>
  <c r="J42" i="1"/>
  <c r="F42" i="1"/>
  <c r="F24" i="1"/>
  <c r="J24" i="1"/>
  <c r="I24" i="1"/>
  <c r="N24" i="1" s="1"/>
  <c r="F30" i="1"/>
  <c r="J30" i="1"/>
  <c r="I30" i="1"/>
  <c r="J53" i="1"/>
  <c r="F53" i="1"/>
  <c r="I53" i="1"/>
  <c r="F44" i="1"/>
  <c r="I44" i="1"/>
  <c r="J44" i="1"/>
  <c r="J29" i="1"/>
  <c r="I29" i="1"/>
  <c r="F29" i="1"/>
  <c r="J49" i="1"/>
  <c r="I49" i="1"/>
  <c r="F49" i="1"/>
  <c r="J31" i="1"/>
  <c r="I31" i="1"/>
  <c r="F31" i="1"/>
  <c r="J32" i="1"/>
  <c r="F32" i="1"/>
  <c r="I32" i="1"/>
  <c r="J43" i="1"/>
  <c r="F43" i="1"/>
  <c r="I43" i="1"/>
  <c r="J35" i="1"/>
  <c r="F35" i="1"/>
  <c r="I35" i="1"/>
  <c r="J51" i="1"/>
  <c r="I51" i="1"/>
  <c r="F51" i="1"/>
  <c r="J52" i="1"/>
  <c r="I52" i="1"/>
  <c r="F52" i="1"/>
  <c r="J22" i="1"/>
  <c r="I22" i="1"/>
  <c r="F22" i="1"/>
  <c r="J57" i="1"/>
  <c r="I57" i="1"/>
  <c r="F57" i="1"/>
  <c r="J40" i="1"/>
  <c r="F40" i="1"/>
  <c r="I40" i="1"/>
  <c r="J34" i="1"/>
  <c r="I34" i="1"/>
  <c r="F34" i="1"/>
  <c r="J26" i="1"/>
  <c r="I26" i="1"/>
  <c r="F26" i="1"/>
  <c r="J27" i="1"/>
  <c r="F27" i="1"/>
  <c r="I27" i="1"/>
  <c r="J48" i="1"/>
  <c r="I48" i="1"/>
  <c r="F48" i="1"/>
  <c r="J36" i="1"/>
  <c r="I36" i="1"/>
  <c r="F36" i="1"/>
  <c r="J45" i="1"/>
  <c r="F45" i="1"/>
  <c r="I45" i="1"/>
  <c r="J33" i="1"/>
  <c r="I33" i="1"/>
  <c r="F33" i="1"/>
  <c r="J47" i="1"/>
  <c r="F47" i="1"/>
  <c r="I47" i="1"/>
  <c r="J60" i="1"/>
  <c r="I60" i="1"/>
  <c r="F60" i="1"/>
  <c r="F23" i="1"/>
  <c r="J23" i="1"/>
  <c r="I23" i="1"/>
  <c r="J58" i="1"/>
  <c r="I58" i="1"/>
  <c r="F58" i="1"/>
  <c r="F42" i="13"/>
  <c r="J55" i="13"/>
  <c r="F43" i="13"/>
  <c r="F35" i="13"/>
  <c r="F27" i="13"/>
  <c r="F38" i="13"/>
  <c r="F32" i="13"/>
  <c r="I52" i="13"/>
  <c r="Q52" i="13" s="1"/>
  <c r="K20" i="13"/>
  <c r="I20" i="13"/>
  <c r="J20" i="13"/>
  <c r="K26" i="13"/>
  <c r="J23" i="13"/>
  <c r="I42" i="13"/>
  <c r="J42" i="13"/>
  <c r="I38" i="13"/>
  <c r="J38" i="13"/>
  <c r="I31" i="13"/>
  <c r="K31" i="13"/>
  <c r="I32" i="13"/>
  <c r="J32" i="13"/>
  <c r="F58" i="13"/>
  <c r="F46" i="13"/>
  <c r="F44" i="13"/>
  <c r="F60" i="13"/>
  <c r="F50" i="13"/>
  <c r="F54" i="13"/>
  <c r="I61" i="13"/>
  <c r="J61" i="13"/>
  <c r="F53" i="13"/>
  <c r="J53" i="13"/>
  <c r="Q53" i="13" s="1"/>
  <c r="I45" i="13"/>
  <c r="J45" i="13"/>
  <c r="J37" i="13"/>
  <c r="M37" i="13" s="1"/>
  <c r="I29" i="13"/>
  <c r="J29" i="13"/>
  <c r="J21" i="13"/>
  <c r="I36" i="13"/>
  <c r="Q36" i="13" s="1"/>
  <c r="I22" i="13"/>
  <c r="J22" i="13"/>
  <c r="I30" i="13"/>
  <c r="J30" i="13"/>
  <c r="I55" i="13"/>
  <c r="I24" i="13"/>
  <c r="J24" i="13"/>
  <c r="J35" i="13"/>
  <c r="K27" i="13"/>
  <c r="K19" i="13"/>
  <c r="K32" i="13"/>
  <c r="I58" i="13"/>
  <c r="Q58" i="13" s="1"/>
  <c r="I26" i="13"/>
  <c r="J26" i="13"/>
  <c r="I46" i="13"/>
  <c r="Q46" i="13" s="1"/>
  <c r="I44" i="13"/>
  <c r="Q44" i="13" s="1"/>
  <c r="I60" i="13"/>
  <c r="Q60" i="13" s="1"/>
  <c r="I50" i="13"/>
  <c r="Q50" i="13" s="1"/>
  <c r="I54" i="13"/>
  <c r="Q54" i="13" s="1"/>
  <c r="I21" i="13"/>
  <c r="F55" i="13"/>
  <c r="K18" i="13"/>
  <c r="J59" i="13"/>
  <c r="I59" i="13"/>
  <c r="F51" i="13"/>
  <c r="I51" i="13"/>
  <c r="Q51" i="13" s="1"/>
  <c r="J43" i="13"/>
  <c r="I43" i="13"/>
  <c r="I35" i="13"/>
  <c r="I27" i="13"/>
  <c r="I34" i="13"/>
  <c r="J34" i="13"/>
  <c r="J31" i="13"/>
  <c r="F18" i="1"/>
  <c r="J18" i="1"/>
  <c r="I18" i="1"/>
  <c r="J19" i="1"/>
  <c r="F19" i="1"/>
  <c r="I19" i="1"/>
  <c r="F7" i="13"/>
  <c r="F12" i="13"/>
  <c r="F18" i="13"/>
  <c r="F10" i="13"/>
  <c r="I18" i="13"/>
  <c r="J18" i="13"/>
  <c r="F9" i="13"/>
  <c r="F16" i="13"/>
  <c r="Q7" i="1"/>
  <c r="H12" i="13"/>
  <c r="H15" i="13"/>
  <c r="H13" i="13"/>
  <c r="H11" i="13"/>
  <c r="H7" i="13"/>
  <c r="H16" i="13"/>
  <c r="H17" i="13"/>
  <c r="H10" i="13"/>
  <c r="H8" i="13"/>
  <c r="H9" i="13"/>
  <c r="H14" i="13"/>
  <c r="I17" i="13"/>
  <c r="K17" i="13" s="1"/>
  <c r="P17" i="13" s="1"/>
  <c r="I15" i="13"/>
  <c r="Q15" i="13" s="1"/>
  <c r="I12" i="13"/>
  <c r="K12" i="13" s="1"/>
  <c r="P12" i="13" s="1"/>
  <c r="J10" i="13"/>
  <c r="Q10" i="13" s="1"/>
  <c r="K11" i="13"/>
  <c r="K10" i="13"/>
  <c r="J8" i="13"/>
  <c r="I8" i="13"/>
  <c r="K8" i="13" s="1"/>
  <c r="J11" i="13"/>
  <c r="Q11" i="13" s="1"/>
  <c r="I7" i="13"/>
  <c r="K7" i="13" s="1"/>
  <c r="P7" i="13" s="1"/>
  <c r="I14" i="13"/>
  <c r="K14" i="13" s="1"/>
  <c r="J14" i="13"/>
  <c r="I16" i="13"/>
  <c r="K16" i="13" s="1"/>
  <c r="P16" i="13" s="1"/>
  <c r="I13" i="13"/>
  <c r="K13" i="13" s="1"/>
  <c r="J13" i="13"/>
  <c r="I9" i="13"/>
  <c r="K9" i="13" s="1"/>
  <c r="P9" i="13" s="1"/>
  <c r="I53" i="12"/>
  <c r="K53" i="12" s="1"/>
  <c r="I56" i="12"/>
  <c r="K56" i="12" s="1"/>
  <c r="I40" i="12"/>
  <c r="K40" i="12" s="1"/>
  <c r="I34" i="12"/>
  <c r="K34" i="12" s="1"/>
  <c r="I51" i="12"/>
  <c r="K51" i="12" s="1"/>
  <c r="I54" i="12"/>
  <c r="K54" i="12" s="1"/>
  <c r="I38" i="12"/>
  <c r="K38" i="12" s="1"/>
  <c r="I36" i="12"/>
  <c r="K36" i="12" s="1"/>
  <c r="I49" i="12"/>
  <c r="K49" i="12" s="1"/>
  <c r="I60" i="12"/>
  <c r="K60" i="12" s="1"/>
  <c r="I44" i="12"/>
  <c r="K44" i="12" s="1"/>
  <c r="I47" i="12"/>
  <c r="K47" i="12" s="1"/>
  <c r="I58" i="12"/>
  <c r="K58" i="12" s="1"/>
  <c r="I42" i="12"/>
  <c r="K42" i="12" s="1"/>
  <c r="I61" i="12"/>
  <c r="K61" i="12" s="1"/>
  <c r="I45" i="12"/>
  <c r="K45" i="12" s="1"/>
  <c r="I48" i="12"/>
  <c r="K48" i="12" s="1"/>
  <c r="I35" i="12"/>
  <c r="K35" i="12" s="1"/>
  <c r="I59" i="12"/>
  <c r="K59" i="12" s="1"/>
  <c r="I43" i="12"/>
  <c r="K43" i="12" s="1"/>
  <c r="I46" i="12"/>
  <c r="K46" i="12" s="1"/>
  <c r="I33" i="12"/>
  <c r="K33" i="12" s="1"/>
  <c r="I57" i="12"/>
  <c r="K57" i="12" s="1"/>
  <c r="I41" i="12"/>
  <c r="K41" i="12" s="1"/>
  <c r="I52" i="12"/>
  <c r="K52" i="12" s="1"/>
  <c r="I55" i="12"/>
  <c r="K55" i="12" s="1"/>
  <c r="I39" i="12"/>
  <c r="K39" i="12" s="1"/>
  <c r="I50" i="12"/>
  <c r="K50" i="12" s="1"/>
  <c r="I37" i="12"/>
  <c r="K37" i="12" s="1"/>
  <c r="F53" i="12"/>
  <c r="F56" i="12"/>
  <c r="F40" i="12"/>
  <c r="F34" i="12"/>
  <c r="F51" i="12"/>
  <c r="F54" i="12"/>
  <c r="F38" i="12"/>
  <c r="F36" i="12"/>
  <c r="F49" i="12"/>
  <c r="F60" i="12"/>
  <c r="F44" i="12"/>
  <c r="F47" i="12"/>
  <c r="F58" i="12"/>
  <c r="F42" i="12"/>
  <c r="F61" i="12"/>
  <c r="F45" i="12"/>
  <c r="F48" i="12"/>
  <c r="F35" i="12"/>
  <c r="F59" i="12"/>
  <c r="F43" i="12"/>
  <c r="F46" i="12"/>
  <c r="F33" i="12"/>
  <c r="F57" i="12"/>
  <c r="F41" i="12"/>
  <c r="F52" i="12"/>
  <c r="F55" i="12"/>
  <c r="F39" i="12"/>
  <c r="F50" i="12"/>
  <c r="F37" i="12"/>
  <c r="J53" i="12"/>
  <c r="J56" i="12"/>
  <c r="J40" i="12"/>
  <c r="J34" i="12"/>
  <c r="J51" i="12"/>
  <c r="J54" i="12"/>
  <c r="J38" i="12"/>
  <c r="J36" i="12"/>
  <c r="J49" i="12"/>
  <c r="J60" i="12"/>
  <c r="J44" i="12"/>
  <c r="J47" i="12"/>
  <c r="J58" i="12"/>
  <c r="J42" i="12"/>
  <c r="J61" i="12"/>
  <c r="J45" i="12"/>
  <c r="J48" i="12"/>
  <c r="J35" i="12"/>
  <c r="J59" i="12"/>
  <c r="J43" i="12"/>
  <c r="J46" i="12"/>
  <c r="J33" i="12"/>
  <c r="J57" i="12"/>
  <c r="J41" i="12"/>
  <c r="J52" i="12"/>
  <c r="J55" i="12"/>
  <c r="J39" i="12"/>
  <c r="J50" i="12"/>
  <c r="J37" i="12"/>
  <c r="H31" i="12"/>
  <c r="H23" i="12"/>
  <c r="H20" i="12"/>
  <c r="H28" i="12"/>
  <c r="H32" i="12"/>
  <c r="H27" i="12"/>
  <c r="H19" i="12"/>
  <c r="J25" i="12"/>
  <c r="Q25" i="12" s="1"/>
  <c r="K15" i="12"/>
  <c r="P15" i="12" s="1"/>
  <c r="K23" i="12"/>
  <c r="J23" i="12"/>
  <c r="K27" i="12"/>
  <c r="K19" i="12"/>
  <c r="J19" i="12"/>
  <c r="G25" i="12"/>
  <c r="G17" i="12"/>
  <c r="K32" i="12"/>
  <c r="K28" i="12"/>
  <c r="J28" i="12"/>
  <c r="G18" i="12"/>
  <c r="K20" i="12"/>
  <c r="J20" i="12"/>
  <c r="J32" i="12"/>
  <c r="G29" i="12"/>
  <c r="G21" i="12"/>
  <c r="G16" i="12"/>
  <c r="K31" i="12"/>
  <c r="J31" i="12"/>
  <c r="G22" i="12"/>
  <c r="G24" i="12"/>
  <c r="J27" i="12"/>
  <c r="G30" i="12"/>
  <c r="G26" i="12"/>
  <c r="K22" i="12"/>
  <c r="J22" i="12"/>
  <c r="K24" i="12"/>
  <c r="J24" i="12"/>
  <c r="K30" i="12"/>
  <c r="J30" i="12"/>
  <c r="K26" i="12"/>
  <c r="J26" i="12"/>
  <c r="K21" i="12"/>
  <c r="P21" i="12" s="1"/>
  <c r="G9" i="12"/>
  <c r="H9" i="12" s="1"/>
  <c r="G11" i="12"/>
  <c r="H11" i="12" s="1"/>
  <c r="K8" i="12"/>
  <c r="J8" i="12"/>
  <c r="G7" i="12"/>
  <c r="H7" i="12" s="1"/>
  <c r="G13" i="12"/>
  <c r="H13" i="12" s="1"/>
  <c r="J7" i="12"/>
  <c r="K9" i="12"/>
  <c r="P9" i="12" s="1"/>
  <c r="G14" i="12"/>
  <c r="H14" i="12" s="1"/>
  <c r="K14" i="12"/>
  <c r="J14" i="12"/>
  <c r="G10" i="12"/>
  <c r="H10" i="12" s="1"/>
  <c r="G12" i="12"/>
  <c r="H12" i="12" s="1"/>
  <c r="K7" i="12"/>
  <c r="K13" i="12"/>
  <c r="P13" i="12" s="1"/>
  <c r="N9" i="1"/>
  <c r="P7" i="1"/>
  <c r="T8" i="1"/>
  <c r="N25" i="1"/>
  <c r="V18" i="1"/>
  <c r="V15" i="1"/>
  <c r="T18" i="1"/>
  <c r="T12" i="1"/>
  <c r="T13" i="1"/>
  <c r="V13" i="1"/>
  <c r="P40" i="1"/>
  <c r="V17" i="1"/>
  <c r="V12" i="1"/>
  <c r="T14" i="1"/>
  <c r="T19" i="1"/>
  <c r="V14" i="1"/>
  <c r="T17" i="1"/>
  <c r="V10" i="1"/>
  <c r="V16" i="1"/>
  <c r="T16" i="1"/>
  <c r="V19" i="1"/>
  <c r="V8" i="1"/>
  <c r="T7" i="1"/>
  <c r="V9" i="1"/>
  <c r="V7" i="1"/>
  <c r="T10" i="1"/>
  <c r="V11" i="1"/>
  <c r="T11" i="1"/>
  <c r="T9" i="1"/>
  <c r="M17" i="1" l="1"/>
  <c r="Q12" i="1"/>
  <c r="M9" i="1"/>
  <c r="M15" i="1"/>
  <c r="M12" i="1"/>
  <c r="M10" i="1"/>
  <c r="M13" i="1"/>
  <c r="M16" i="1"/>
  <c r="M8" i="1"/>
  <c r="Q13" i="1"/>
  <c r="M14" i="1"/>
  <c r="M11" i="1"/>
  <c r="Q11" i="1"/>
  <c r="Q14" i="1"/>
  <c r="Q9" i="1"/>
  <c r="Q8" i="1"/>
  <c r="Q10" i="1"/>
  <c r="P8" i="1"/>
  <c r="Q15" i="1"/>
  <c r="Q16" i="1"/>
  <c r="Q17" i="1"/>
  <c r="Q28" i="13"/>
  <c r="M9" i="13"/>
  <c r="M19" i="13"/>
  <c r="M17" i="13"/>
  <c r="Q60" i="1"/>
  <c r="O24" i="1"/>
  <c r="M49" i="13"/>
  <c r="P20" i="1"/>
  <c r="M28" i="13"/>
  <c r="M36" i="1"/>
  <c r="Q48" i="1"/>
  <c r="M34" i="1"/>
  <c r="M52" i="1"/>
  <c r="Q51" i="1"/>
  <c r="M42" i="1"/>
  <c r="Q56" i="1"/>
  <c r="Q38" i="1"/>
  <c r="M48" i="13"/>
  <c r="O33" i="13"/>
  <c r="Q27" i="13"/>
  <c r="O25" i="1"/>
  <c r="P26" i="1"/>
  <c r="Q35" i="13"/>
  <c r="M55" i="13"/>
  <c r="Q43" i="1"/>
  <c r="P33" i="13"/>
  <c r="Q55" i="13"/>
  <c r="Q54" i="1"/>
  <c r="Q37" i="1"/>
  <c r="Q55" i="1"/>
  <c r="Q41" i="13"/>
  <c r="Q38" i="13"/>
  <c r="Q45" i="1"/>
  <c r="Q59" i="1"/>
  <c r="Q57" i="13"/>
  <c r="Q61" i="1"/>
  <c r="Q43" i="13"/>
  <c r="M59" i="13"/>
  <c r="M58" i="1"/>
  <c r="Q36" i="1"/>
  <c r="Q42" i="1"/>
  <c r="M37" i="1"/>
  <c r="Q33" i="13"/>
  <c r="M55" i="1"/>
  <c r="M59" i="1"/>
  <c r="M57" i="13"/>
  <c r="O19" i="13"/>
  <c r="M33" i="13"/>
  <c r="M56" i="13"/>
  <c r="Q42" i="13"/>
  <c r="Q19" i="13"/>
  <c r="P19" i="13"/>
  <c r="Q32" i="1"/>
  <c r="O17" i="13"/>
  <c r="P21" i="13"/>
  <c r="M26" i="1"/>
  <c r="M22" i="1"/>
  <c r="M29" i="1"/>
  <c r="Q24" i="1"/>
  <c r="O18" i="13"/>
  <c r="Q26" i="1"/>
  <c r="Q22" i="1"/>
  <c r="Q29" i="1"/>
  <c r="Q30" i="1"/>
  <c r="Q25" i="1"/>
  <c r="Q21" i="1"/>
  <c r="Q25" i="13"/>
  <c r="P28" i="13"/>
  <c r="O32" i="13"/>
  <c r="P20" i="13"/>
  <c r="Q23" i="1"/>
  <c r="Q31" i="1"/>
  <c r="O28" i="13"/>
  <c r="M58" i="13"/>
  <c r="P31" i="13"/>
  <c r="M36" i="13"/>
  <c r="Q58" i="1"/>
  <c r="Q34" i="1"/>
  <c r="Q52" i="1"/>
  <c r="Q44" i="1"/>
  <c r="Q46" i="1"/>
  <c r="Q20" i="1"/>
  <c r="M61" i="1"/>
  <c r="Q41" i="1"/>
  <c r="M47" i="13"/>
  <c r="M40" i="13"/>
  <c r="M41" i="13"/>
  <c r="Q32" i="13"/>
  <c r="P32" i="13"/>
  <c r="M45" i="13"/>
  <c r="M61" i="13"/>
  <c r="Q59" i="13"/>
  <c r="O21" i="13"/>
  <c r="M33" i="1"/>
  <c r="Q27" i="1"/>
  <c r="M57" i="1"/>
  <c r="Q35" i="1"/>
  <c r="M49" i="1"/>
  <c r="P18" i="13"/>
  <c r="P30" i="13"/>
  <c r="Q21" i="13"/>
  <c r="Q37" i="13"/>
  <c r="M54" i="13"/>
  <c r="M44" i="13"/>
  <c r="O20" i="13"/>
  <c r="M52" i="13"/>
  <c r="M60" i="1"/>
  <c r="Q47" i="1"/>
  <c r="Q33" i="1"/>
  <c r="M48" i="1"/>
  <c r="Q40" i="1"/>
  <c r="Q57" i="1"/>
  <c r="M51" i="1"/>
  <c r="M31" i="1"/>
  <c r="Q49" i="1"/>
  <c r="Q53" i="1"/>
  <c r="M56" i="1"/>
  <c r="Q50" i="1"/>
  <c r="Q28" i="1"/>
  <c r="Q39" i="1"/>
  <c r="M39" i="13"/>
  <c r="P25" i="13"/>
  <c r="Q56" i="13"/>
  <c r="O25" i="13"/>
  <c r="O33" i="1"/>
  <c r="N33" i="1"/>
  <c r="O28" i="1"/>
  <c r="N28" i="1"/>
  <c r="O45" i="1"/>
  <c r="N45" i="1"/>
  <c r="O61" i="1"/>
  <c r="N61" i="1"/>
  <c r="O60" i="1"/>
  <c r="N60" i="1"/>
  <c r="O23" i="1"/>
  <c r="N23" i="1"/>
  <c r="O26" i="1"/>
  <c r="N26" i="1"/>
  <c r="M29" i="13"/>
  <c r="O29" i="13"/>
  <c r="M27" i="13"/>
  <c r="Q30" i="13"/>
  <c r="M46" i="1"/>
  <c r="M28" i="1"/>
  <c r="M25" i="1"/>
  <c r="M20" i="1"/>
  <c r="M38" i="1"/>
  <c r="M39" i="1"/>
  <c r="M21" i="1"/>
  <c r="M41" i="1"/>
  <c r="O32" i="1"/>
  <c r="N32" i="1"/>
  <c r="O59" i="1"/>
  <c r="N59" i="1"/>
  <c r="O49" i="1"/>
  <c r="N49" i="1"/>
  <c r="O40" i="1"/>
  <c r="N40" i="1"/>
  <c r="O30" i="1"/>
  <c r="N30" i="1"/>
  <c r="M19" i="1"/>
  <c r="M18" i="1"/>
  <c r="P34" i="13"/>
  <c r="O34" i="13"/>
  <c r="M34" i="13"/>
  <c r="Q34" i="13"/>
  <c r="M51" i="13"/>
  <c r="Q26" i="13"/>
  <c r="Q24" i="13"/>
  <c r="P24" i="13"/>
  <c r="Q31" i="13"/>
  <c r="O31" i="13"/>
  <c r="P26" i="13"/>
  <c r="M35" i="13"/>
  <c r="M42" i="13"/>
  <c r="O27" i="13"/>
  <c r="Q45" i="13"/>
  <c r="P29" i="13"/>
  <c r="M47" i="1"/>
  <c r="M45" i="1"/>
  <c r="M27" i="1"/>
  <c r="M40" i="1"/>
  <c r="M35" i="1"/>
  <c r="M43" i="1"/>
  <c r="M32" i="1"/>
  <c r="M53" i="1"/>
  <c r="O58" i="1"/>
  <c r="N58" i="1"/>
  <c r="O57" i="1"/>
  <c r="N57" i="1"/>
  <c r="O36" i="1"/>
  <c r="N36" i="1"/>
  <c r="O39" i="1"/>
  <c r="N39" i="1"/>
  <c r="O54" i="1"/>
  <c r="N54" i="1"/>
  <c r="O38" i="1"/>
  <c r="N38" i="1"/>
  <c r="O42" i="1"/>
  <c r="N42" i="1"/>
  <c r="O35" i="1"/>
  <c r="N35" i="1"/>
  <c r="O43" i="1"/>
  <c r="N43" i="1"/>
  <c r="O41" i="1"/>
  <c r="N41" i="1"/>
  <c r="O48" i="1"/>
  <c r="N48" i="1"/>
  <c r="O44" i="1"/>
  <c r="N44" i="1"/>
  <c r="O50" i="1"/>
  <c r="N50" i="1"/>
  <c r="O20" i="1"/>
  <c r="N20" i="1"/>
  <c r="Q18" i="13"/>
  <c r="Q19" i="1"/>
  <c r="P27" i="13"/>
  <c r="O22" i="13"/>
  <c r="Q22" i="13"/>
  <c r="Q29" i="13"/>
  <c r="M53" i="13"/>
  <c r="M50" i="13"/>
  <c r="M32" i="13"/>
  <c r="M43" i="13"/>
  <c r="O30" i="13"/>
  <c r="O26" i="13"/>
  <c r="O24" i="13"/>
  <c r="M30" i="13"/>
  <c r="M44" i="1"/>
  <c r="M30" i="1"/>
  <c r="M24" i="1"/>
  <c r="M54" i="1"/>
  <c r="M50" i="1"/>
  <c r="O46" i="1"/>
  <c r="N46" i="1"/>
  <c r="O31" i="1"/>
  <c r="N31" i="1"/>
  <c r="O56" i="1"/>
  <c r="N56" i="1"/>
  <c r="O22" i="1"/>
  <c r="N22" i="1"/>
  <c r="O51" i="1"/>
  <c r="N51" i="1"/>
  <c r="O27" i="1"/>
  <c r="N27" i="1"/>
  <c r="O52" i="1"/>
  <c r="N52" i="1"/>
  <c r="O29" i="1"/>
  <c r="N29" i="1"/>
  <c r="O55" i="1"/>
  <c r="N55" i="1"/>
  <c r="O47" i="1"/>
  <c r="N47" i="1"/>
  <c r="O34" i="1"/>
  <c r="N34" i="1"/>
  <c r="O37" i="1"/>
  <c r="N37" i="1"/>
  <c r="O53" i="1"/>
  <c r="N53" i="1"/>
  <c r="O21" i="1"/>
  <c r="N21" i="1"/>
  <c r="Q18" i="1"/>
  <c r="M60" i="13"/>
  <c r="M46" i="13"/>
  <c r="Q23" i="13"/>
  <c r="P23" i="13"/>
  <c r="Q20" i="13"/>
  <c r="M38" i="13"/>
  <c r="M31" i="13"/>
  <c r="P22" i="13"/>
  <c r="O23" i="13"/>
  <c r="Q61" i="13"/>
  <c r="M23" i="1"/>
  <c r="O18" i="1"/>
  <c r="N18" i="1"/>
  <c r="M11" i="13"/>
  <c r="M7" i="13"/>
  <c r="M16" i="13"/>
  <c r="M18" i="13"/>
  <c r="M15" i="13"/>
  <c r="M12" i="13"/>
  <c r="O19" i="1"/>
  <c r="N19" i="1"/>
  <c r="M14" i="13"/>
  <c r="M10" i="13"/>
  <c r="M13" i="13"/>
  <c r="M8" i="13"/>
  <c r="O9" i="13"/>
  <c r="O10" i="13"/>
  <c r="O11" i="13"/>
  <c r="O8" i="13"/>
  <c r="O16" i="13"/>
  <c r="O7" i="13"/>
  <c r="O14" i="13"/>
  <c r="O15" i="13"/>
  <c r="O13" i="13"/>
  <c r="O12" i="13"/>
  <c r="O15" i="1"/>
  <c r="N15" i="1"/>
  <c r="O13" i="1"/>
  <c r="N13" i="1"/>
  <c r="O12" i="1"/>
  <c r="N12" i="1"/>
  <c r="O8" i="1"/>
  <c r="N8" i="1"/>
  <c r="O17" i="1"/>
  <c r="N17" i="1"/>
  <c r="O11" i="1"/>
  <c r="N11" i="1"/>
  <c r="O10" i="1"/>
  <c r="N10" i="1"/>
  <c r="O16" i="1"/>
  <c r="N16" i="1"/>
  <c r="O14" i="1"/>
  <c r="N14" i="1"/>
  <c r="O7" i="1"/>
  <c r="N7" i="1"/>
  <c r="Q17" i="13"/>
  <c r="P10" i="13"/>
  <c r="P14" i="13"/>
  <c r="P8" i="13"/>
  <c r="K15" i="13"/>
  <c r="P15" i="13" s="1"/>
  <c r="Q12" i="13"/>
  <c r="P13" i="13"/>
  <c r="Q9" i="13"/>
  <c r="Q7" i="13"/>
  <c r="Q13" i="13"/>
  <c r="Q14" i="13"/>
  <c r="P11" i="13"/>
  <c r="Q16" i="13"/>
  <c r="Q8" i="13"/>
  <c r="P53" i="12"/>
  <c r="P51" i="12"/>
  <c r="P54" i="12"/>
  <c r="Q49" i="12"/>
  <c r="P36" i="12"/>
  <c r="P34" i="12"/>
  <c r="Q44" i="12"/>
  <c r="P38" i="12"/>
  <c r="Q15" i="12"/>
  <c r="Q42" i="12"/>
  <c r="P58" i="12"/>
  <c r="P48" i="12"/>
  <c r="P34" i="1"/>
  <c r="P55" i="12"/>
  <c r="P14" i="12"/>
  <c r="P28" i="12"/>
  <c r="Q37" i="12"/>
  <c r="P41" i="12"/>
  <c r="Q40" i="12"/>
  <c r="Q41" i="12"/>
  <c r="P33" i="12"/>
  <c r="P29" i="1"/>
  <c r="O14" i="12"/>
  <c r="P30" i="12"/>
  <c r="P22" i="12"/>
  <c r="P20" i="12"/>
  <c r="P32" i="12"/>
  <c r="N19" i="12"/>
  <c r="P23" i="12"/>
  <c r="Q39" i="12"/>
  <c r="Q55" i="12"/>
  <c r="Q52" i="12"/>
  <c r="Q45" i="12"/>
  <c r="Q61" i="12"/>
  <c r="P44" i="12"/>
  <c r="Q54" i="12"/>
  <c r="P56" i="12"/>
  <c r="Q46" i="12"/>
  <c r="Q59" i="12"/>
  <c r="Q34" i="12"/>
  <c r="P26" i="12"/>
  <c r="P24" i="12"/>
  <c r="O28" i="12"/>
  <c r="Q43" i="12"/>
  <c r="Q47" i="12"/>
  <c r="P52" i="1"/>
  <c r="P42" i="1"/>
  <c r="P54" i="1"/>
  <c r="P58" i="1"/>
  <c r="P61" i="1"/>
  <c r="P35" i="1"/>
  <c r="P57" i="1"/>
  <c r="P45" i="1"/>
  <c r="P46" i="1"/>
  <c r="P48" i="1"/>
  <c r="P56" i="1"/>
  <c r="P21" i="1"/>
  <c r="P24" i="1"/>
  <c r="Q16" i="12"/>
  <c r="K16" i="12"/>
  <c r="P16" i="12" s="1"/>
  <c r="M17" i="12"/>
  <c r="K17" i="12"/>
  <c r="P17" i="12" s="1"/>
  <c r="N22" i="12"/>
  <c r="H22" i="12"/>
  <c r="O22" i="12" s="1"/>
  <c r="N16" i="12"/>
  <c r="H16" i="12"/>
  <c r="O16" i="12" s="1"/>
  <c r="M15" i="12"/>
  <c r="G15" i="12"/>
  <c r="P27" i="12"/>
  <c r="N27" i="12"/>
  <c r="N20" i="12"/>
  <c r="O31" i="12"/>
  <c r="M37" i="12"/>
  <c r="G37" i="12"/>
  <c r="M50" i="12"/>
  <c r="G50" i="12"/>
  <c r="M55" i="12"/>
  <c r="G55" i="12"/>
  <c r="P57" i="12"/>
  <c r="M43" i="12"/>
  <c r="G43" i="12"/>
  <c r="P35" i="12"/>
  <c r="G45" i="12"/>
  <c r="M45" i="12"/>
  <c r="G61" i="12"/>
  <c r="M61" i="12"/>
  <c r="M58" i="12"/>
  <c r="G58" i="12"/>
  <c r="G47" i="12"/>
  <c r="M47" i="12"/>
  <c r="G60" i="12"/>
  <c r="M60" i="12"/>
  <c r="G36" i="12"/>
  <c r="M36" i="12"/>
  <c r="G34" i="12"/>
  <c r="M34" i="12"/>
  <c r="G40" i="12"/>
  <c r="M40" i="12"/>
  <c r="G56" i="12"/>
  <c r="M56" i="12"/>
  <c r="Q53" i="12"/>
  <c r="P44" i="1"/>
  <c r="P37" i="1"/>
  <c r="P41" i="1"/>
  <c r="P39" i="1"/>
  <c r="P53" i="1"/>
  <c r="P36" i="1"/>
  <c r="P59" i="1"/>
  <c r="P51" i="1"/>
  <c r="P49" i="1"/>
  <c r="P55" i="1"/>
  <c r="P50" i="1"/>
  <c r="P60" i="1"/>
  <c r="P47" i="1"/>
  <c r="P32" i="1"/>
  <c r="P25" i="1"/>
  <c r="P33" i="1"/>
  <c r="P28" i="1"/>
  <c r="N30" i="12"/>
  <c r="H30" i="12"/>
  <c r="O30" i="12" s="1"/>
  <c r="N21" i="12"/>
  <c r="H21" i="12"/>
  <c r="O21" i="12" s="1"/>
  <c r="N25" i="12"/>
  <c r="H25" i="12"/>
  <c r="O25" i="12" s="1"/>
  <c r="O19" i="12"/>
  <c r="O32" i="12"/>
  <c r="N32" i="12"/>
  <c r="N31" i="12"/>
  <c r="M41" i="12"/>
  <c r="G41" i="12"/>
  <c r="M46" i="12"/>
  <c r="G46" i="12"/>
  <c r="M59" i="12"/>
  <c r="G59" i="12"/>
  <c r="M44" i="12"/>
  <c r="G44" i="12"/>
  <c r="G49" i="12"/>
  <c r="M49" i="12"/>
  <c r="G38" i="12"/>
  <c r="M38" i="12"/>
  <c r="Q56" i="12"/>
  <c r="P43" i="1"/>
  <c r="P22" i="1"/>
  <c r="Q18" i="12"/>
  <c r="K18" i="12"/>
  <c r="P18" i="12" s="1"/>
  <c r="Q29" i="12"/>
  <c r="K29" i="12"/>
  <c r="P29" i="12" s="1"/>
  <c r="O23" i="12"/>
  <c r="P25" i="12"/>
  <c r="P50" i="12"/>
  <c r="P39" i="12"/>
  <c r="P52" i="12"/>
  <c r="Q57" i="12"/>
  <c r="G33" i="12"/>
  <c r="M33" i="12"/>
  <c r="P46" i="12"/>
  <c r="P43" i="12"/>
  <c r="P59" i="12"/>
  <c r="Q35" i="12"/>
  <c r="Q48" i="12"/>
  <c r="P45" i="12"/>
  <c r="P61" i="12"/>
  <c r="G42" i="12"/>
  <c r="M42" i="12"/>
  <c r="Q58" i="12"/>
  <c r="P47" i="12"/>
  <c r="Q60" i="12"/>
  <c r="P49" i="12"/>
  <c r="Q38" i="12"/>
  <c r="G54" i="12"/>
  <c r="M54" i="12"/>
  <c r="Q51" i="12"/>
  <c r="P40" i="12"/>
  <c r="P30" i="1"/>
  <c r="P38" i="1"/>
  <c r="P31" i="1"/>
  <c r="P27" i="1"/>
  <c r="P23" i="1"/>
  <c r="N26" i="12"/>
  <c r="H26" i="12"/>
  <c r="O26" i="12" s="1"/>
  <c r="N24" i="12"/>
  <c r="H24" i="12"/>
  <c r="O24" i="12" s="1"/>
  <c r="P31" i="12"/>
  <c r="N29" i="12"/>
  <c r="H29" i="12"/>
  <c r="O29" i="12" s="1"/>
  <c r="N18" i="12"/>
  <c r="H18" i="12"/>
  <c r="O18" i="12" s="1"/>
  <c r="N17" i="12"/>
  <c r="H17" i="12"/>
  <c r="O17" i="12" s="1"/>
  <c r="P19" i="12"/>
  <c r="O27" i="12"/>
  <c r="O20" i="12"/>
  <c r="N23" i="12"/>
  <c r="N28" i="12"/>
  <c r="P37" i="12"/>
  <c r="Q50" i="12"/>
  <c r="G39" i="12"/>
  <c r="M39" i="12"/>
  <c r="M52" i="12"/>
  <c r="G52" i="12"/>
  <c r="G57" i="12"/>
  <c r="M57" i="12"/>
  <c r="Q33" i="12"/>
  <c r="G35" i="12"/>
  <c r="M35" i="12"/>
  <c r="M48" i="12"/>
  <c r="G48" i="12"/>
  <c r="P42" i="12"/>
  <c r="P60" i="12"/>
  <c r="Q36" i="12"/>
  <c r="G51" i="12"/>
  <c r="M51" i="12"/>
  <c r="G53" i="12"/>
  <c r="M53" i="12"/>
  <c r="P7" i="12"/>
  <c r="O12" i="12"/>
  <c r="N11" i="12"/>
  <c r="K11" i="12"/>
  <c r="P11" i="12" s="1"/>
  <c r="P8" i="12"/>
  <c r="O9" i="12"/>
  <c r="Q12" i="12"/>
  <c r="K12" i="12"/>
  <c r="P12" i="12" s="1"/>
  <c r="O7" i="12"/>
  <c r="O11" i="12"/>
  <c r="Q10" i="12"/>
  <c r="K10" i="12"/>
  <c r="P10" i="12" s="1"/>
  <c r="O10" i="12"/>
  <c r="O13" i="12"/>
  <c r="O8" i="12"/>
  <c r="M25" i="12"/>
  <c r="Q27" i="12"/>
  <c r="M19" i="12"/>
  <c r="M29" i="12"/>
  <c r="Q23" i="12"/>
  <c r="Q19" i="12"/>
  <c r="M23" i="12"/>
  <c r="Q20" i="12"/>
  <c r="Q30" i="12"/>
  <c r="Q22" i="12"/>
  <c r="Q31" i="12"/>
  <c r="M20" i="12"/>
  <c r="Q28" i="12"/>
  <c r="Q17" i="12"/>
  <c r="Q32" i="12"/>
  <c r="Q26" i="12"/>
  <c r="Q24" i="12"/>
  <c r="M32" i="12"/>
  <c r="M21" i="12"/>
  <c r="M31" i="12"/>
  <c r="M28" i="12"/>
  <c r="M22" i="12"/>
  <c r="M9" i="12"/>
  <c r="Q21" i="12"/>
  <c r="M27" i="12"/>
  <c r="M30" i="12"/>
  <c r="M26" i="12"/>
  <c r="M18" i="12"/>
  <c r="M24" i="12"/>
  <c r="M16" i="12"/>
  <c r="Q8" i="12"/>
  <c r="N8" i="12"/>
  <c r="M8" i="12"/>
  <c r="Q7" i="12"/>
  <c r="M11" i="12"/>
  <c r="Q11" i="12"/>
  <c r="Q14" i="12"/>
  <c r="M14" i="12"/>
  <c r="M12" i="12"/>
  <c r="N12" i="12"/>
  <c r="N10" i="12"/>
  <c r="Q13" i="12"/>
  <c r="M13" i="12"/>
  <c r="N13" i="12"/>
  <c r="M10" i="12"/>
  <c r="N14" i="12"/>
  <c r="M7" i="12"/>
  <c r="N7" i="12"/>
  <c r="Q9" i="12"/>
  <c r="N9" i="12"/>
  <c r="O9" i="1"/>
  <c r="P10" i="1"/>
  <c r="P11" i="1"/>
  <c r="P9" i="1"/>
  <c r="P17" i="1"/>
  <c r="P14" i="1"/>
  <c r="P19" i="1"/>
  <c r="P18" i="1"/>
  <c r="P12" i="1"/>
  <c r="P15" i="1"/>
  <c r="P16" i="1"/>
  <c r="P13" i="1"/>
  <c r="N51" i="12" l="1"/>
  <c r="H51" i="12"/>
  <c r="O51" i="12" s="1"/>
  <c r="N48" i="12"/>
  <c r="H48" i="12"/>
  <c r="O48" i="12" s="1"/>
  <c r="H49" i="12"/>
  <c r="O49" i="12" s="1"/>
  <c r="N49" i="12"/>
  <c r="N55" i="12"/>
  <c r="H55" i="12"/>
  <c r="O55" i="12" s="1"/>
  <c r="H37" i="12"/>
  <c r="O37" i="12" s="1"/>
  <c r="N37" i="12"/>
  <c r="H42" i="12"/>
  <c r="O42" i="12" s="1"/>
  <c r="N42" i="12"/>
  <c r="N44" i="12"/>
  <c r="H44" i="12"/>
  <c r="O44" i="12" s="1"/>
  <c r="N46" i="12"/>
  <c r="H46" i="12"/>
  <c r="O46" i="12" s="1"/>
  <c r="H40" i="12"/>
  <c r="O40" i="12" s="1"/>
  <c r="N40" i="12"/>
  <c r="H36" i="12"/>
  <c r="O36" i="12" s="1"/>
  <c r="N36" i="12"/>
  <c r="N47" i="12"/>
  <c r="H47" i="12"/>
  <c r="O47" i="12" s="1"/>
  <c r="H61" i="12"/>
  <c r="O61" i="12" s="1"/>
  <c r="N61" i="12"/>
  <c r="N43" i="12"/>
  <c r="H43" i="12"/>
  <c r="O43" i="12" s="1"/>
  <c r="N53" i="12"/>
  <c r="H53" i="12"/>
  <c r="O53" i="12" s="1"/>
  <c r="N57" i="12"/>
  <c r="H57" i="12"/>
  <c r="O57" i="12" s="1"/>
  <c r="H39" i="12"/>
  <c r="O39" i="12" s="1"/>
  <c r="N39" i="12"/>
  <c r="H54" i="12"/>
  <c r="O54" i="12" s="1"/>
  <c r="N54" i="12"/>
  <c r="N33" i="12"/>
  <c r="H33" i="12"/>
  <c r="O33" i="12" s="1"/>
  <c r="H38" i="12"/>
  <c r="O38" i="12" s="1"/>
  <c r="N38" i="12"/>
  <c r="N58" i="12"/>
  <c r="H58" i="12"/>
  <c r="O58" i="12" s="1"/>
  <c r="N50" i="12"/>
  <c r="H50" i="12"/>
  <c r="O50" i="12" s="1"/>
  <c r="N15" i="12"/>
  <c r="H15" i="12"/>
  <c r="O15" i="12" s="1"/>
  <c r="H35" i="12"/>
  <c r="O35" i="12" s="1"/>
  <c r="N35" i="12"/>
  <c r="N52" i="12"/>
  <c r="H52" i="12"/>
  <c r="O52" i="12" s="1"/>
  <c r="N59" i="12"/>
  <c r="H59" i="12"/>
  <c r="O59" i="12" s="1"/>
  <c r="N41" i="12"/>
  <c r="H41" i="12"/>
  <c r="O41" i="12" s="1"/>
  <c r="H56" i="12"/>
  <c r="O56" i="12" s="1"/>
  <c r="N56" i="12"/>
  <c r="H34" i="12"/>
  <c r="O34" i="12" s="1"/>
  <c r="N34" i="12"/>
  <c r="H60" i="12"/>
  <c r="O60" i="12" s="1"/>
  <c r="N60" i="12"/>
  <c r="H45" i="12"/>
  <c r="O45" i="12" s="1"/>
  <c r="N45" i="1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Rachel Earl</author>
  </authors>
  <commentList>
    <comment ref="BV1" authorId="0" shapeId="0" xr:uid="{63CF84C0-8707-4EE1-A97F-C3E5A86570B4}">
      <text>
        <r>
          <rPr>
            <b/>
            <sz val="9"/>
            <color indexed="81"/>
            <rFont val="Tahoma"/>
            <family val="2"/>
          </rPr>
          <t>Rachel Earl:</t>
        </r>
        <r>
          <rPr>
            <sz val="9"/>
            <color indexed="81"/>
            <rFont val="Tahoma"/>
            <family val="2"/>
          </rPr>
          <t xml:space="preserve">
If USS is a valid pension scheme for the grade, the grade is on the 1-57 point scale, and any point on the grade is less than the USS threshold point, this column should say 'yes'</t>
        </r>
      </text>
    </comment>
    <comment ref="BW1" authorId="0" shapeId="0" xr:uid="{5DDE28F0-EE16-46B9-A4AA-D704FB72B9D1}">
      <text>
        <r>
          <rPr>
            <b/>
            <sz val="9"/>
            <color indexed="81"/>
            <rFont val="Tahoma"/>
            <family val="2"/>
          </rPr>
          <t>Rachel Earl:</t>
        </r>
        <r>
          <rPr>
            <sz val="9"/>
            <color indexed="81"/>
            <rFont val="Tahoma"/>
            <family val="2"/>
          </rPr>
          <t xml:space="preserve">
If CPAS or CRSP is a valid pension scheme for the grade, the grade is on the 1-57 point scale, and any point on the grade is greater than the CPAS / CRSP threshold point, this column should say 'yes'</t>
        </r>
      </text>
    </comment>
  </commentList>
</comments>
</file>

<file path=xl/sharedStrings.xml><?xml version="1.0" encoding="utf-8"?>
<sst xmlns="http://schemas.openxmlformats.org/spreadsheetml/2006/main" count="590" uniqueCount="224">
  <si>
    <t>This page shows level 1-6 spinal points (3-57) with their salary values.
Click 'print' to get this as a 1-page document.</t>
  </si>
  <si>
    <t>Level 1-6 Spinal Salary Scale</t>
  </si>
  <si>
    <t>This spinal scale is applicable to all staff groups.</t>
  </si>
  <si>
    <r>
      <rPr>
        <b/>
        <sz val="11"/>
        <color theme="1"/>
        <rFont val="Arial"/>
        <family val="2"/>
      </rPr>
      <t>Points 1 &amp; 2 are not in use at the University of Nottingham. Our lowest point is point 3.</t>
    </r>
    <r>
      <rPr>
        <sz val="11"/>
        <color theme="1"/>
        <rFont val="Arial"/>
        <family val="2"/>
      </rPr>
      <t xml:space="preserve">
Point 1 was removed from the UCEA Salary Scale with effect from 1 April 2017. 
Point 2 was removed from the UCEA Salary Scale with effect from 1 August 2019.</t>
    </r>
  </si>
  <si>
    <t>*</t>
  </si>
  <si>
    <r>
      <rPr>
        <b/>
        <sz val="11"/>
        <color rgb="FFC00000"/>
        <rFont val="Arial"/>
        <family val="2"/>
      </rPr>
      <t>The consolidated rate for Spine Point 3 has increased with effect from 1 April 2021</t>
    </r>
    <r>
      <rPr>
        <sz val="11"/>
        <color rgb="FFC00000"/>
        <rFont val="Arial"/>
        <family val="2"/>
      </rPr>
      <t xml:space="preserve"> to meet the increased National Living Wage rate.</t>
    </r>
  </si>
  <si>
    <t>**</t>
  </si>
  <si>
    <r>
      <t xml:space="preserve">The August 2021 pay award has been agreed for the following staff groups:
</t>
    </r>
    <r>
      <rPr>
        <sz val="11"/>
        <color rgb="FFC00000"/>
        <rFont val="Arial"/>
        <family val="2"/>
      </rPr>
      <t xml:space="preserve">APM (Adminnistrative Professional &amp; Managerial) Levels 4-7
R&amp;T (Research &amp; Teaching) Levels 4-7
</t>
    </r>
    <r>
      <rPr>
        <b/>
        <sz val="11"/>
        <color rgb="FFC00000"/>
        <rFont val="Arial"/>
        <family val="2"/>
      </rPr>
      <t>These staff groups should refer to column K for their salary values.</t>
    </r>
    <r>
      <rPr>
        <sz val="11"/>
        <color rgb="FFC00000"/>
        <rFont val="Arial"/>
        <family val="2"/>
      </rPr>
      <t xml:space="preserve">
</t>
    </r>
    <r>
      <rPr>
        <b/>
        <sz val="11"/>
        <color rgb="FFC00000"/>
        <rFont val="Arial"/>
        <family val="2"/>
      </rPr>
      <t>All other staff groups should refer to column J for their salary values.</t>
    </r>
  </si>
  <si>
    <t>Point</t>
  </si>
  <si>
    <t>Salary</t>
  </si>
  <si>
    <r>
      <rPr>
        <sz val="11"/>
        <color theme="1"/>
        <rFont val="Arial"/>
        <family val="2"/>
      </rPr>
      <t xml:space="preserve">For staff groups whose pay award </t>
    </r>
    <r>
      <rPr>
        <b/>
        <sz val="11"/>
        <color theme="1"/>
        <rFont val="Arial"/>
        <family val="2"/>
      </rPr>
      <t>has not</t>
    </r>
    <r>
      <rPr>
        <sz val="11"/>
        <color theme="1"/>
        <rFont val="Arial"/>
        <family val="2"/>
      </rPr>
      <t xml:space="preserve"> been agreed</t>
    </r>
    <r>
      <rPr>
        <b/>
        <sz val="11"/>
        <color theme="1"/>
        <rFont val="Arial"/>
        <family val="2"/>
      </rPr>
      <t xml:space="preserve"> **</t>
    </r>
  </si>
  <si>
    <r>
      <rPr>
        <sz val="11"/>
        <color theme="1"/>
        <rFont val="Arial"/>
        <family val="2"/>
      </rPr>
      <t xml:space="preserve">For staff groups whose pay award </t>
    </r>
    <r>
      <rPr>
        <b/>
        <sz val="11"/>
        <color theme="1"/>
        <rFont val="Arial"/>
        <family val="2"/>
      </rPr>
      <t>has</t>
    </r>
    <r>
      <rPr>
        <sz val="11"/>
        <color theme="1"/>
        <rFont val="Arial"/>
        <family val="2"/>
      </rPr>
      <t xml:space="preserve"> been agreed</t>
    </r>
    <r>
      <rPr>
        <b/>
        <sz val="11"/>
        <color theme="1"/>
        <rFont val="Arial"/>
        <family val="2"/>
      </rPr>
      <t xml:space="preserve"> **</t>
    </r>
  </si>
  <si>
    <t>TS Trainee</t>
  </si>
  <si>
    <t>APM1</t>
  </si>
  <si>
    <t>TS1</t>
  </si>
  <si>
    <t>O&amp;F1-A</t>
  </si>
  <si>
    <t>O&amp;F1-B</t>
  </si>
  <si>
    <t>O&amp;F1-C</t>
  </si>
  <si>
    <t>Level 1 Standard Max</t>
  </si>
  <si>
    <t>O&amp;F1-D</t>
  </si>
  <si>
    <t>O&amp;F1-E</t>
  </si>
  <si>
    <t>TS2</t>
  </si>
  <si>
    <t>APM2</t>
  </si>
  <si>
    <t>CCS1</t>
  </si>
  <si>
    <t>O&amp;F2-A</t>
  </si>
  <si>
    <t>Standard Max</t>
  </si>
  <si>
    <t>Level 2 Standard Max</t>
  </si>
  <si>
    <t>O&amp;F2-B</t>
  </si>
  <si>
    <t>CCS2</t>
  </si>
  <si>
    <t>APM3</t>
  </si>
  <si>
    <t>TS3</t>
  </si>
  <si>
    <t>O&amp;F3-A</t>
  </si>
  <si>
    <t>R&amp;T 4a</t>
  </si>
  <si>
    <t>APM4 TG</t>
  </si>
  <si>
    <t>R&amp;T4 TG</t>
  </si>
  <si>
    <t>Level 3 Standard Max</t>
  </si>
  <si>
    <t>O&amp;F3-B</t>
  </si>
  <si>
    <t>No Point 25</t>
  </si>
  <si>
    <t>TS4</t>
  </si>
  <si>
    <t>APM4</t>
  </si>
  <si>
    <t>R&amp;T4</t>
  </si>
  <si>
    <t>Extended R&amp;T 5</t>
  </si>
  <si>
    <t>Level 4 Standard Max</t>
  </si>
  <si>
    <t>R&amp;T5</t>
  </si>
  <si>
    <t>APM5</t>
  </si>
  <si>
    <t>TS5</t>
  </si>
  <si>
    <t>Level 5 Standard Max</t>
  </si>
  <si>
    <t>TS6</t>
  </si>
  <si>
    <t>APM6</t>
  </si>
  <si>
    <t>R&amp;T6</t>
  </si>
  <si>
    <t>Level 6 Standard Max</t>
  </si>
  <si>
    <t>This page shows Level 7 spinal points with their salary values.
Click 'print' to get this as a 1 page document.</t>
  </si>
  <si>
    <t>Level 7 Spinal Salary Scale</t>
  </si>
  <si>
    <t>This spinal scale is applicable to the following staff groups:</t>
  </si>
  <si>
    <t>APM (Administrative Professional &amp; Managerial) staff</t>
  </si>
  <si>
    <t>TS (Technical Services) staff</t>
  </si>
  <si>
    <t>R&amp;T (Research &amp; Teaching) staff in post prior to 1 August 2021, who have not yet been moved to the new Level 7 R&amp;T banded scale.</t>
  </si>
  <si>
    <t>Spine Point</t>
  </si>
  <si>
    <t>STANDARD MAXIMUM</t>
  </si>
  <si>
    <t>R&amp;T (Research &amp; Teaching) staff with a post starting on or after 1 August 2021, and any R&amp;T staff in post prior to 1 August 2021 who have already been moved from the old Level 7 Scale.</t>
  </si>
  <si>
    <t>Band</t>
  </si>
  <si>
    <t>Band A</t>
  </si>
  <si>
    <t>Band A maximum</t>
  </si>
  <si>
    <t>Band B</t>
  </si>
  <si>
    <t>Band B maximum</t>
  </si>
  <si>
    <t>Band C</t>
  </si>
  <si>
    <t>Band C maximum</t>
  </si>
  <si>
    <t>Band D</t>
  </si>
  <si>
    <t>Select From Drop-Down</t>
  </si>
  <si>
    <t>R&amp;T Level 5 - Clinical Lecturers (Vet School)</t>
  </si>
  <si>
    <r>
      <rPr>
        <b/>
        <sz val="11"/>
        <color theme="1" tint="0.14999847407452621"/>
        <rFont val="Arial"/>
        <family val="2"/>
      </rPr>
      <t>NOTES</t>
    </r>
    <r>
      <rPr>
        <sz val="11"/>
        <color theme="1" tint="0.14999847407452621"/>
        <rFont val="Arial"/>
        <family val="2"/>
      </rPr>
      <t xml:space="preserve">
CPAS is not available to new employees.
From 1 April 2016, there has only been one single rate of NI, previously known as 'A' rate, which applies to all employees regardless of pension status.
From 6 April 2017, an apprenticeship levy is payable to HMRC which applies to all employees.
From 1 April 2021, there are no employers NIC payable for workers under 21 who earn less than £50268 (Upper Secondary Threshold).</t>
    </r>
  </si>
  <si>
    <t>TOTALS</t>
  </si>
  <si>
    <t>R&amp;T Level 6 - Clinical Associate Professors and Clinical Readers (Vet School)</t>
  </si>
  <si>
    <t>Top Up Amount</t>
  </si>
  <si>
    <t>USS Pens Cost</t>
  </si>
  <si>
    <t>NHS Pens Cost</t>
  </si>
  <si>
    <t>CPAS Pens Cost</t>
  </si>
  <si>
    <t>Ers National Insurance</t>
  </si>
  <si>
    <t>Apprenticeship Levy</t>
  </si>
  <si>
    <t>CRSP Pens Cost</t>
  </si>
  <si>
    <t>USS</t>
  </si>
  <si>
    <t>NHS</t>
  </si>
  <si>
    <t>CPAS</t>
  </si>
  <si>
    <t>CRSP</t>
  </si>
  <si>
    <t>Not Contributing to a Pension</t>
  </si>
  <si>
    <t>Notes &amp; Guidance</t>
  </si>
  <si>
    <t>General</t>
  </si>
  <si>
    <t>Update</t>
  </si>
  <si>
    <t>Effective Date</t>
  </si>
  <si>
    <t>For any queries with this spreadsheet, contact the HR MIS team.</t>
  </si>
  <si>
    <r>
      <t xml:space="preserve">Pay Award </t>
    </r>
    <r>
      <rPr>
        <sz val="11"/>
        <color theme="1"/>
        <rFont val="Arial"/>
        <family val="2"/>
      </rPr>
      <t>(L1-3, exc TS)</t>
    </r>
  </si>
  <si>
    <t>The 'scale' (zoom) is set to 100% on all tabs in this spreadsheet. This can be adjusted using the + &amp; - buttons in the bottom right of Excel.</t>
  </si>
  <si>
    <r>
      <t xml:space="preserve">Pay Award </t>
    </r>
    <r>
      <rPr>
        <sz val="11"/>
        <color theme="1"/>
        <rFont val="Arial"/>
        <family val="2"/>
      </rPr>
      <t>(L4-7, exc TS)</t>
    </r>
  </si>
  <si>
    <t>Print Preview is automatically set, but changes can be made in the page set up section if required.</t>
  </si>
  <si>
    <r>
      <t xml:space="preserve">Pay Award </t>
    </r>
    <r>
      <rPr>
        <sz val="11"/>
        <color theme="1"/>
        <rFont val="Arial"/>
        <family val="2"/>
      </rPr>
      <t>(TS)</t>
    </r>
  </si>
  <si>
    <t>NI Rates</t>
  </si>
  <si>
    <t>Rates tab</t>
  </si>
  <si>
    <t>Clinical Salaries</t>
  </si>
  <si>
    <t>The Rates tab gives the current salary, and the employer's pension &amp; national insurance (NI) costs.</t>
  </si>
  <si>
    <t>Spreadsheet last updated</t>
  </si>
  <si>
    <t>Use the drop-down selector in the top left of the Rates tab to choose the grade(s) that are displayed.</t>
  </si>
  <si>
    <t>The Salary Points &amp; Employer Costs for that grade will be displayed.</t>
  </si>
  <si>
    <t>The drop-down selection 'Salary Points to 3 - 57' shows all spine points on the 3-57 point scale. CRSP is available to the bottom of Level 3 &amp; USS from the bottom of Level 4.</t>
  </si>
  <si>
    <t>If there is a standard maximum spine point for the grade, this will be highlighted in orange.</t>
  </si>
  <si>
    <t>If a pension scheme is not available for the chosen grade, the entry under that column will show as '-'.</t>
  </si>
  <si>
    <t>CRSP Employers % is calculated as 10% though in practice this could be a lower figure depending on the contribution the employee decides to make.</t>
  </si>
  <si>
    <t>Veterinary Scales will have AVA &amp; Clinical Supplements figures supplied to the right of the TOTALS. NI &amp; Pension is calculated based on the Salary + the AVA %. The Clinical Supplement can be a percentage up to 15%. The figure in the spreadsheet will always show the maximum 15% figure.</t>
  </si>
  <si>
    <t>Grade Number</t>
  </si>
  <si>
    <t>No of Points</t>
  </si>
  <si>
    <t>Minimum</t>
  </si>
  <si>
    <t>Super Max</t>
  </si>
  <si>
    <t>Pension Schemes</t>
  </si>
  <si>
    <t>Points lookup spine point range</t>
  </si>
  <si>
    <t>Points lookup salary range</t>
  </si>
  <si>
    <t>USS threshold spine point (D rate) applies?</t>
  </si>
  <si>
    <t>CPAS / CRSP threshold spine point (A rate) applies?</t>
  </si>
  <si>
    <t>Entry for rates tab notes box (F2:K2) - if needed</t>
  </si>
  <si>
    <t>Sort order</t>
  </si>
  <si>
    <t>Salary Points 3 to 57</t>
  </si>
  <si>
    <t>Y</t>
  </si>
  <si>
    <t>No</t>
  </si>
  <si>
    <t>Yes</t>
  </si>
  <si>
    <t>D</t>
  </si>
  <si>
    <t>E</t>
  </si>
  <si>
    <t>APM Level 1</t>
  </si>
  <si>
    <t>N/A</t>
  </si>
  <si>
    <t>APM Level 2</t>
  </si>
  <si>
    <t>APM Level 3</t>
  </si>
  <si>
    <t>APM Level 4</t>
  </si>
  <si>
    <t>APM Level 4 Training Grade</t>
  </si>
  <si>
    <t>APM Level 5</t>
  </si>
  <si>
    <t>APM Level 6</t>
  </si>
  <si>
    <t>APM Level 7</t>
  </si>
  <si>
    <t>G</t>
  </si>
  <si>
    <t>H</t>
  </si>
  <si>
    <t>Apprenticeship</t>
  </si>
  <si>
    <t>AJ</t>
  </si>
  <si>
    <t>AL</t>
  </si>
  <si>
    <t>Child Care Services Level 1</t>
  </si>
  <si>
    <t>Child Care Services Level 2</t>
  </si>
  <si>
    <t>Clinical Academic - Clinical Academic Doctors in Training (CLDOCIT)</t>
  </si>
  <si>
    <t>M</t>
  </si>
  <si>
    <t>N</t>
  </si>
  <si>
    <t>Spine point 5 rate applies from 1 October 2021. 
Between 1 April 2021 and 30 September 2021, the spine point 5 rate for the CLDOCIT grade was £53,007.00</t>
  </si>
  <si>
    <t>Clinical Academic - Clinical Consultant Old Contract (GP)</t>
  </si>
  <si>
    <t>P</t>
  </si>
  <si>
    <t>Q</t>
  </si>
  <si>
    <t>Clinical Academic - Clinical Lecturer / Medical Research Fellow</t>
  </si>
  <si>
    <t>Clinical Academic - New Consultant contract</t>
  </si>
  <si>
    <t>S</t>
  </si>
  <si>
    <t>T</t>
  </si>
  <si>
    <t>R&amp;T Extended Level 5</t>
  </si>
  <si>
    <t>R&amp;T Level 4</t>
  </si>
  <si>
    <t>R&amp;T Level 4 Res Career Training Grade</t>
  </si>
  <si>
    <t>R&amp;T Level 4a</t>
  </si>
  <si>
    <t>R&amp;T Level 5</t>
  </si>
  <si>
    <t>V</t>
  </si>
  <si>
    <t>R&amp;T Level 6</t>
  </si>
  <si>
    <t>AC</t>
  </si>
  <si>
    <t>AF</t>
  </si>
  <si>
    <t>R&amp;T Level 7 (pre-2021)</t>
  </si>
  <si>
    <t>R&amp;T Level 7 all bands</t>
  </si>
  <si>
    <t>J</t>
  </si>
  <si>
    <t>K</t>
  </si>
  <si>
    <t>R&amp;T Level 7 Band A</t>
  </si>
  <si>
    <t>R&amp;T Level 7 Band B</t>
  </si>
  <si>
    <t>R&amp;T Level 7 Band C</t>
  </si>
  <si>
    <t>R&amp;T Level 7 Band D</t>
  </si>
  <si>
    <t>Technical Services Level 1</t>
  </si>
  <si>
    <t>Technical Services Level 2</t>
  </si>
  <si>
    <t>Technical Services Level 3</t>
  </si>
  <si>
    <t>Technical Services Level 4</t>
  </si>
  <si>
    <t>Technical Services Level 5</t>
  </si>
  <si>
    <t>Technical Services Level 6</t>
  </si>
  <si>
    <t>Technical Services Level 7</t>
  </si>
  <si>
    <t>Technical Services Trainee</t>
  </si>
  <si>
    <t xml:space="preserve"> </t>
  </si>
  <si>
    <r>
      <t xml:space="preserve">Points 1-11 = CLLECT ("post-2009 Clinical Lecturer scale")
</t>
    </r>
    <r>
      <rPr>
        <sz val="14"/>
        <color theme="4"/>
        <rFont val="Calibri"/>
        <family val="2"/>
      </rPr>
      <t>Points 19-23 = CLCONS OLD ("staff holding honorary consultant contract (pre-2003 contract)"</t>
    </r>
  </si>
  <si>
    <t>"2003 consultant contract"</t>
  </si>
  <si>
    <t>Level 1-6 Spine Points</t>
  </si>
  <si>
    <t>Level 7 Spine Points</t>
  </si>
  <si>
    <t>Level 7 R&amp;T Banded Spine Points</t>
  </si>
  <si>
    <t>CLDOCIT</t>
  </si>
  <si>
    <t>CLLECT / CLCONS OLD</t>
  </si>
  <si>
    <t>CLCONS - NEW</t>
  </si>
  <si>
    <t>AVA%</t>
  </si>
  <si>
    <t>Salary + AVA</t>
  </si>
  <si>
    <t>Clinical Supplement %</t>
  </si>
  <si>
    <t>Clinical Supplement  Amount</t>
  </si>
  <si>
    <t>Main salary scale point (col A) that apprenticeship point relates to</t>
  </si>
  <si>
    <t>Match</t>
  </si>
  <si>
    <t>UCEA point 2</t>
  </si>
  <si>
    <t>UCEA Pt 1 removed from scale 1/4/17, UCEA Pt 2 removed from scale 1/8/19</t>
  </si>
  <si>
    <t>Aug 19 - UCEA Pt 1 increased with same % increase as UCEA Pt 2 (3.65%)</t>
  </si>
  <si>
    <t>NI THRESHOLDS &amp; RATES</t>
  </si>
  <si>
    <t>* Update the values of these cells to reflect the current NI Thresholds &amp; Rates</t>
  </si>
  <si>
    <t>Lower Earnings Level (LEL)</t>
  </si>
  <si>
    <t>Secondary Threshold (ST)</t>
  </si>
  <si>
    <t>Primary Threshold (PT)</t>
  </si>
  <si>
    <t>Upper Accrual Point (UAP)</t>
  </si>
  <si>
    <t>LEL to ST</t>
  </si>
  <si>
    <t>ST to UAP</t>
  </si>
  <si>
    <t>Above UEL</t>
  </si>
  <si>
    <t>ERS Rates</t>
  </si>
  <si>
    <t>USS Rate</t>
  </si>
  <si>
    <t>D Rate from / USS Start</t>
  </si>
  <si>
    <t>NHS Rate</t>
  </si>
  <si>
    <t>A rate stops</t>
  </si>
  <si>
    <t>CPAS Rate</t>
  </si>
  <si>
    <t>CRSP Rate</t>
  </si>
  <si>
    <r>
      <rPr>
        <b/>
        <sz val="11"/>
        <color theme="1" tint="0.14999847407452621"/>
        <rFont val="Arial"/>
        <family val="2"/>
      </rPr>
      <t>NOTES</t>
    </r>
    <r>
      <rPr>
        <sz val="11"/>
        <color theme="1" tint="0.14999847407452621"/>
        <rFont val="Arial"/>
        <family val="2"/>
      </rPr>
      <t xml:space="preserve">
CPAS is not available to new employees.
From 1 April 2016, there has only been one single rate of NI, which applies to all employees.
From 6 April 2017, an apprenticeship levy is payable to HMRC which applies to all employees.
From 1 April 2021, there are no employers NIC payable for workers under 21 who earn less than £50268 (Upper Secondary Threshold).</t>
    </r>
  </si>
  <si>
    <t>CHECKED</t>
  </si>
  <si>
    <t>Believe formulae for NHS, CPAS and CRSP were outdated, as some of the earlier expressions overwrite the later parts.
1-57 point scale is listed as having NHS pension on grades tab but is specifically EXCLUDED in formula below - why?? 
Also APM7 and R&amp;T7 are not listed as having NHS pension on grades tab but it IS calculated in formula below.
CHECK WITH PENSIONS TEAM</t>
  </si>
  <si>
    <t>PRE- PAY AWARD: Use this only for split pay awards</t>
  </si>
  <si>
    <t>manually add new amount for point 1 (E4)</t>
  </si>
  <si>
    <t>manually add new amount for point 1 (B4)</t>
  </si>
  <si>
    <t>Select on right: does apprenticeship rate rely on pre- pay award or post- pay award values?</t>
  </si>
  <si>
    <t>Post- pay award</t>
  </si>
  <si>
    <t>Select on right: does R&amp;T L6 vet rate rely on pre- pay award or post- pay award values?</t>
  </si>
  <si>
    <t>Select on right: does R&amp;T L5 vet rate rely on pre- pay award or post- pay award values?</t>
  </si>
  <si>
    <t>POST- PAY AWARD 
note that SP1 &amp; SP2 must be manually calculated by applying the % increase to the old values</t>
  </si>
  <si>
    <r>
      <rPr>
        <b/>
        <sz val="11"/>
        <rFont val="Arial"/>
        <family val="2"/>
      </rPr>
      <t>The 2021/22 Living Wage Foundation rate has been applied from 1 November 2021.</t>
    </r>
    <r>
      <rPr>
        <sz val="11"/>
        <rFont val="Arial"/>
        <family val="2"/>
      </rPr>
      <t xml:space="preserve"> The following annual non-consolidated top up payments apply, paid monthly:
Spine point 3: </t>
    </r>
    <r>
      <rPr>
        <b/>
        <sz val="11"/>
        <rFont val="Arial"/>
        <family val="2"/>
      </rPr>
      <t>£1,512</t>
    </r>
    <r>
      <rPr>
        <sz val="11"/>
        <rFont val="Arial"/>
        <family val="2"/>
      </rPr>
      <t xml:space="preserve"> (pro-rata)
Spine point 4: </t>
    </r>
    <r>
      <rPr>
        <b/>
        <sz val="11"/>
        <rFont val="Arial"/>
        <family val="2"/>
      </rPr>
      <t>£1,254</t>
    </r>
    <r>
      <rPr>
        <sz val="11"/>
        <rFont val="Arial"/>
        <family val="2"/>
      </rPr>
      <t xml:space="preserve"> (pro-rata)
Spine point 5: </t>
    </r>
    <r>
      <rPr>
        <b/>
        <sz val="11"/>
        <rFont val="Arial"/>
        <family val="2"/>
      </rPr>
      <t>£949</t>
    </r>
    <r>
      <rPr>
        <sz val="11"/>
        <rFont val="Arial"/>
        <family val="2"/>
      </rPr>
      <t xml:space="preserve"> (pro-rata)
Spine point 6: </t>
    </r>
    <r>
      <rPr>
        <b/>
        <sz val="11"/>
        <rFont val="Arial"/>
        <family val="2"/>
      </rPr>
      <t>£638</t>
    </r>
    <r>
      <rPr>
        <sz val="11"/>
        <rFont val="Arial"/>
        <family val="2"/>
      </rPr>
      <t xml:space="preserve"> (pro-rata)
Spine point 7: </t>
    </r>
    <r>
      <rPr>
        <b/>
        <sz val="11"/>
        <rFont val="Arial"/>
        <family val="2"/>
      </rPr>
      <t>£321</t>
    </r>
    <r>
      <rPr>
        <sz val="11"/>
        <rFont val="Arial"/>
        <family val="2"/>
      </rPr>
      <t xml:space="preserve"> (pro-rata)</t>
    </r>
  </si>
  <si>
    <t>Point 3, 4, 5, 6 and 7 Topup?</t>
  </si>
  <si>
    <t>O&amp;F Shift Extended Hours = £3,897.73
O&amp;F Shift 24/7 = £5,197.10
-where applicable-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</si>
</sst>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;;;"/>
    <numFmt numFmtId="165" formatCode="0.0%"/>
    <numFmt numFmtId="166" formatCode="&quot;£&quot;#,##0"/>
    <numFmt numFmtId="167" formatCode="0_ ;\-0\ "/>
    <numFmt numFmtId="168" formatCode="0_ ;[Red]\-0\ "/>
  </numFmts>
  <fonts count="52" x14ac:knownFonts="1">
    <font>
      <sz val="11"/>
      <color theme="1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4"/>
      <color theme="1"/>
      <name val="Calibri"/>
      <family val="2"/>
    </font>
    <font>
      <b/>
      <sz val="14"/>
      <color theme="1"/>
      <name val="Calibri"/>
      <family val="2"/>
    </font>
    <font>
      <sz val="11"/>
      <color theme="0"/>
      <name val="Calibri"/>
      <family val="2"/>
    </font>
    <font>
      <sz val="14"/>
      <color rgb="FF000000"/>
      <name val="Calibri"/>
      <family val="2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sz val="11"/>
      <color theme="1"/>
      <name val="Calibri"/>
      <family val="2"/>
    </font>
    <font>
      <sz val="11"/>
      <color theme="1"/>
      <name val="Arial"/>
      <family val="2"/>
    </font>
    <font>
      <sz val="11"/>
      <color rgb="FFFF0000"/>
      <name val="Arial"/>
      <family val="2"/>
    </font>
    <font>
      <sz val="11"/>
      <name val="Calibri"/>
      <family val="2"/>
    </font>
    <font>
      <b/>
      <sz val="11"/>
      <name val="Calibri"/>
      <family val="2"/>
    </font>
    <font>
      <b/>
      <sz val="11"/>
      <color theme="1"/>
      <name val="Arial"/>
      <family val="2"/>
    </font>
    <font>
      <sz val="10.5"/>
      <color theme="1"/>
      <name val="Arial"/>
      <family val="2"/>
    </font>
    <font>
      <b/>
      <sz val="10.5"/>
      <color theme="1"/>
      <name val="Arial"/>
      <family val="2"/>
    </font>
    <font>
      <sz val="12"/>
      <color theme="1"/>
      <name val="Arial"/>
      <family val="2"/>
    </font>
    <font>
      <sz val="14"/>
      <color theme="1"/>
      <name val="Arial"/>
      <family val="2"/>
    </font>
    <font>
      <b/>
      <sz val="24"/>
      <color theme="1"/>
      <name val="Arial"/>
      <family val="2"/>
    </font>
    <font>
      <sz val="12"/>
      <color rgb="FFFF0000"/>
      <name val="Arial"/>
      <family val="2"/>
    </font>
    <font>
      <b/>
      <sz val="14"/>
      <color theme="1"/>
      <name val="Arial"/>
      <family val="2"/>
    </font>
    <font>
      <sz val="11"/>
      <name val="Arial"/>
      <family val="2"/>
    </font>
    <font>
      <b/>
      <sz val="14"/>
      <color theme="0"/>
      <name val="Arial"/>
      <family val="2"/>
    </font>
    <font>
      <b/>
      <sz val="16"/>
      <color theme="0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b/>
      <i/>
      <sz val="10"/>
      <color rgb="FFFF0000"/>
      <name val="Arial"/>
      <family val="2"/>
    </font>
    <font>
      <b/>
      <sz val="11"/>
      <color theme="1" tint="0.14999847407452621"/>
      <name val="Arial"/>
      <family val="2"/>
    </font>
    <font>
      <b/>
      <sz val="14"/>
      <color theme="1" tint="0.14999847407452621"/>
      <name val="Arial"/>
      <family val="2"/>
    </font>
    <font>
      <b/>
      <sz val="12"/>
      <color theme="1"/>
      <name val="Arial"/>
      <family val="2"/>
    </font>
    <font>
      <sz val="14"/>
      <name val="Arial"/>
      <family val="2"/>
    </font>
    <font>
      <sz val="11"/>
      <color theme="1" tint="0.14999847407452621"/>
      <name val="Arial"/>
      <family val="2"/>
    </font>
    <font>
      <sz val="11"/>
      <color rgb="FFC00000"/>
      <name val="Arial"/>
      <family val="2"/>
    </font>
    <font>
      <b/>
      <sz val="11"/>
      <color rgb="FFC00000"/>
      <name val="Arial"/>
      <family val="2"/>
    </font>
    <font>
      <sz val="24"/>
      <color rgb="FFC00000"/>
      <name val="Arial"/>
      <family val="2"/>
    </font>
    <font>
      <sz val="9"/>
      <color rgb="FFC00000"/>
      <name val="Verdana"/>
      <family val="2"/>
    </font>
    <font>
      <b/>
      <sz val="10.5"/>
      <name val="Arial"/>
      <family val="2"/>
    </font>
    <font>
      <sz val="11"/>
      <color rgb="FFC00000"/>
      <name val="Calibri"/>
      <family val="2"/>
    </font>
    <font>
      <sz val="26"/>
      <color rgb="FFC00000"/>
      <name val="Arial"/>
      <family val="2"/>
    </font>
    <font>
      <sz val="11"/>
      <color indexed="8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4"/>
      <color theme="4"/>
      <name val="Calibri"/>
      <family val="2"/>
    </font>
    <font>
      <b/>
      <sz val="14"/>
      <color theme="4"/>
      <name val="Calibri"/>
      <family val="2"/>
    </font>
    <font>
      <b/>
      <sz val="14"/>
      <color theme="4"/>
      <name val="Calibri"/>
      <family val="2"/>
      <scheme val="minor"/>
    </font>
    <font>
      <b/>
      <u/>
      <sz val="11"/>
      <color theme="1"/>
      <name val="Arial"/>
      <family val="2"/>
    </font>
    <font>
      <sz val="11"/>
      <color theme="0"/>
      <name val="Arial"/>
      <family val="2"/>
    </font>
    <font>
      <b/>
      <sz val="11"/>
      <color indexed="8"/>
      <name val="Arial"/>
      <family val="2"/>
    </font>
    <font>
      <b/>
      <sz val="11"/>
      <color theme="1"/>
      <name val="Calibri"/>
      <family val="2"/>
    </font>
    <font>
      <sz val="9"/>
      <name val="Verdana"/>
      <family val="2"/>
    </font>
  </fonts>
  <fills count="2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/>
      <top/>
      <bottom style="dashed">
        <color auto="1"/>
      </bottom>
      <diagonal/>
    </border>
    <border>
      <left/>
      <right style="thin">
        <color indexed="64"/>
      </right>
      <top/>
      <bottom style="dashed">
        <color auto="1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</borders>
  <cellStyleXfs count="12">
    <xf numFmtId="0" fontId="0" fillId="0" borderId="0"/>
    <xf numFmtId="0" fontId="3" fillId="0" borderId="0"/>
    <xf numFmtId="0" fontId="3" fillId="0" borderId="0"/>
    <xf numFmtId="0" fontId="3" fillId="0" borderId="0"/>
    <xf numFmtId="0" fontId="2" fillId="0" borderId="0"/>
    <xf numFmtId="9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" fillId="0" borderId="0"/>
    <xf numFmtId="0" fontId="9" fillId="0" borderId="0"/>
    <xf numFmtId="0" fontId="1" fillId="0" borderId="0"/>
    <xf numFmtId="9" fontId="9" fillId="0" borderId="0" applyFont="0" applyFill="0" applyBorder="0" applyAlignment="0" applyProtection="0"/>
    <xf numFmtId="43" fontId="9" fillId="0" borderId="0" applyFont="0" applyFill="0" applyBorder="0" applyAlignment="0" applyProtection="0"/>
  </cellStyleXfs>
  <cellXfs count="290">
    <xf numFmtId="0" fontId="0" fillId="0" borderId="0" xfId="0"/>
    <xf numFmtId="0" fontId="0" fillId="0" borderId="0" xfId="0" applyAlignment="1" applyProtection="1">
      <alignment horizontal="center" vertical="center"/>
      <protection hidden="1"/>
    </xf>
    <xf numFmtId="0" fontId="5" fillId="2" borderId="1" xfId="0" applyFont="1" applyFill="1" applyBorder="1" applyAlignment="1" applyProtection="1">
      <alignment horizontal="center" vertical="center" wrapText="1"/>
      <protection hidden="1"/>
    </xf>
    <xf numFmtId="0" fontId="4" fillId="0" borderId="0" xfId="0" applyFont="1" applyAlignment="1" applyProtection="1">
      <alignment horizontal="center" vertical="center"/>
      <protection hidden="1"/>
    </xf>
    <xf numFmtId="0" fontId="0" fillId="0" borderId="0" xfId="0" applyAlignment="1" applyProtection="1">
      <alignment vertical="center"/>
      <protection hidden="1"/>
    </xf>
    <xf numFmtId="0" fontId="4" fillId="0" borderId="0" xfId="0" applyFont="1" applyAlignment="1" applyProtection="1">
      <alignment horizontal="center" vertical="center" wrapText="1"/>
      <protection hidden="1"/>
    </xf>
    <xf numFmtId="0" fontId="5" fillId="0" borderId="0" xfId="0" applyFont="1" applyAlignment="1" applyProtection="1">
      <alignment horizontal="center" vertical="center" wrapText="1"/>
      <protection hidden="1"/>
    </xf>
    <xf numFmtId="0" fontId="0" fillId="0" borderId="0" xfId="0" applyAlignment="1" applyProtection="1">
      <alignment horizontal="center" vertical="center" wrapText="1"/>
      <protection hidden="1"/>
    </xf>
    <xf numFmtId="0" fontId="4" fillId="0" borderId="1" xfId="0" applyFont="1" applyBorder="1" applyAlignment="1" applyProtection="1">
      <alignment horizontal="center" vertical="center"/>
      <protection hidden="1"/>
    </xf>
    <xf numFmtId="1" fontId="4" fillId="0" borderId="1" xfId="0" applyNumberFormat="1" applyFont="1" applyBorder="1" applyAlignment="1" applyProtection="1">
      <alignment horizontal="center" vertical="center"/>
      <protection hidden="1"/>
    </xf>
    <xf numFmtId="0" fontId="0" fillId="0" borderId="0" xfId="0" applyProtection="1">
      <protection hidden="1"/>
    </xf>
    <xf numFmtId="1" fontId="4" fillId="0" borderId="0" xfId="0" applyNumberFormat="1" applyFont="1" applyAlignment="1" applyProtection="1">
      <alignment horizontal="center" vertical="center"/>
      <protection hidden="1"/>
    </xf>
    <xf numFmtId="9" fontId="4" fillId="0" borderId="1" xfId="0" applyNumberFormat="1" applyFont="1" applyBorder="1" applyAlignment="1" applyProtection="1">
      <alignment horizontal="center" vertical="center"/>
      <protection hidden="1"/>
    </xf>
    <xf numFmtId="165" fontId="0" fillId="0" borderId="0" xfId="0" applyNumberFormat="1" applyAlignment="1">
      <alignment horizontal="center" vertical="center"/>
    </xf>
    <xf numFmtId="0" fontId="6" fillId="5" borderId="0" xfId="0" applyFont="1" applyFill="1"/>
    <xf numFmtId="0" fontId="0" fillId="0" borderId="1" xfId="0" applyBorder="1"/>
    <xf numFmtId="0" fontId="0" fillId="0" borderId="0" xfId="0" applyAlignment="1">
      <alignment horizontal="center" vertical="center"/>
    </xf>
    <xf numFmtId="165" fontId="0" fillId="3" borderId="1" xfId="0" applyNumberFormat="1" applyFill="1" applyBorder="1" applyAlignment="1">
      <alignment horizontal="center" vertical="center"/>
    </xf>
    <xf numFmtId="0" fontId="4" fillId="0" borderId="0" xfId="0" applyFont="1" applyAlignment="1" applyProtection="1">
      <alignment horizontal="left" vertical="center"/>
      <protection hidden="1"/>
    </xf>
    <xf numFmtId="0" fontId="0" fillId="0" borderId="0" xfId="0" applyAlignment="1" applyProtection="1">
      <alignment horizontal="right" vertical="center"/>
      <protection hidden="1"/>
    </xf>
    <xf numFmtId="0" fontId="0" fillId="0" borderId="0" xfId="0" applyAlignment="1" applyProtection="1">
      <alignment horizontal="left" vertical="center"/>
      <protection hidden="1"/>
    </xf>
    <xf numFmtId="0" fontId="5" fillId="2" borderId="10" xfId="0" applyFont="1" applyFill="1" applyBorder="1" applyAlignment="1" applyProtection="1">
      <alignment horizontal="center" vertical="center" wrapText="1"/>
      <protection hidden="1"/>
    </xf>
    <xf numFmtId="3" fontId="8" fillId="0" borderId="0" xfId="0" applyNumberFormat="1" applyFont="1" applyAlignment="1">
      <alignment horizontal="center" vertical="center"/>
    </xf>
    <xf numFmtId="0" fontId="0" fillId="2" borderId="16" xfId="0" applyFill="1" applyBorder="1" applyAlignment="1" applyProtection="1">
      <alignment horizontal="center" vertical="center"/>
      <protection hidden="1"/>
    </xf>
    <xf numFmtId="0" fontId="9" fillId="2" borderId="16" xfId="0" applyFont="1" applyFill="1" applyBorder="1" applyAlignment="1" applyProtection="1">
      <alignment horizontal="center" vertical="center"/>
      <protection hidden="1"/>
    </xf>
    <xf numFmtId="0" fontId="0" fillId="3" borderId="16" xfId="0" applyFill="1" applyBorder="1" applyAlignment="1" applyProtection="1">
      <alignment horizontal="center" vertical="center"/>
      <protection hidden="1"/>
    </xf>
    <xf numFmtId="165" fontId="0" fillId="2" borderId="16" xfId="5" applyNumberFormat="1" applyFont="1" applyFill="1" applyBorder="1" applyAlignment="1" applyProtection="1">
      <alignment horizontal="center" vertical="center"/>
      <protection hidden="1"/>
    </xf>
    <xf numFmtId="168" fontId="11" fillId="0" borderId="0" xfId="0" applyNumberFormat="1" applyFont="1" applyAlignment="1">
      <alignment horizontal="center" vertical="center"/>
    </xf>
    <xf numFmtId="0" fontId="9" fillId="0" borderId="0" xfId="0" applyFont="1" applyAlignment="1" applyProtection="1">
      <alignment horizontal="left" vertical="center"/>
      <protection hidden="1"/>
    </xf>
    <xf numFmtId="1" fontId="7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 applyProtection="1">
      <alignment horizontal="center" vertical="center"/>
      <protection hidden="1"/>
    </xf>
    <xf numFmtId="167" fontId="11" fillId="0" borderId="1" xfId="6" applyNumberFormat="1" applyFont="1" applyBorder="1" applyAlignment="1">
      <alignment horizontal="center"/>
    </xf>
    <xf numFmtId="0" fontId="4" fillId="0" borderId="11" xfId="0" applyFont="1" applyBorder="1" applyAlignment="1" applyProtection="1">
      <alignment horizontal="center" vertical="center"/>
      <protection hidden="1"/>
    </xf>
    <xf numFmtId="168" fontId="11" fillId="0" borderId="1" xfId="0" applyNumberFormat="1" applyFont="1" applyBorder="1" applyAlignment="1">
      <alignment horizontal="center" vertical="center"/>
    </xf>
    <xf numFmtId="0" fontId="13" fillId="0" borderId="0" xfId="0" applyFont="1" applyAlignment="1" applyProtection="1">
      <alignment horizontal="center" vertical="center"/>
      <protection hidden="1"/>
    </xf>
    <xf numFmtId="0" fontId="14" fillId="0" borderId="1" xfId="0" applyFont="1" applyBorder="1" applyAlignment="1" applyProtection="1">
      <alignment horizontal="center" vertical="center"/>
      <protection hidden="1"/>
    </xf>
    <xf numFmtId="0" fontId="13" fillId="0" borderId="1" xfId="0" applyFont="1" applyBorder="1" applyAlignment="1" applyProtection="1">
      <alignment horizontal="center" vertical="center"/>
      <protection hidden="1"/>
    </xf>
    <xf numFmtId="0" fontId="16" fillId="0" borderId="0" xfId="0" applyFont="1"/>
    <xf numFmtId="0" fontId="11" fillId="0" borderId="0" xfId="0" applyFont="1" applyAlignment="1" applyProtection="1">
      <alignment vertical="center"/>
      <protection hidden="1"/>
    </xf>
    <xf numFmtId="0" fontId="11" fillId="0" borderId="0" xfId="0" applyFont="1" applyAlignment="1" applyProtection="1">
      <alignment horizontal="center" vertical="center"/>
      <protection hidden="1"/>
    </xf>
    <xf numFmtId="0" fontId="17" fillId="10" borderId="1" xfId="0" applyFont="1" applyFill="1" applyBorder="1" applyAlignment="1" applyProtection="1">
      <alignment horizontal="center" vertical="center"/>
      <protection hidden="1"/>
    </xf>
    <xf numFmtId="0" fontId="17" fillId="10" borderId="10" xfId="0" applyFont="1" applyFill="1" applyBorder="1" applyAlignment="1" applyProtection="1">
      <alignment horizontal="center" vertical="center"/>
      <protection hidden="1"/>
    </xf>
    <xf numFmtId="0" fontId="17" fillId="10" borderId="15" xfId="0" applyFont="1" applyFill="1" applyBorder="1" applyAlignment="1" applyProtection="1">
      <alignment horizontal="center" vertical="center"/>
      <protection hidden="1"/>
    </xf>
    <xf numFmtId="0" fontId="16" fillId="0" borderId="0" xfId="0" applyFont="1" applyAlignment="1" applyProtection="1">
      <alignment horizontal="center" vertical="center"/>
      <protection hidden="1"/>
    </xf>
    <xf numFmtId="0" fontId="16" fillId="0" borderId="0" xfId="0" applyFont="1" applyAlignment="1">
      <alignment horizontal="center" wrapText="1"/>
    </xf>
    <xf numFmtId="0" fontId="11" fillId="0" borderId="0" xfId="0" applyFont="1" applyAlignment="1">
      <alignment horizontal="left" wrapText="1"/>
    </xf>
    <xf numFmtId="0" fontId="18" fillId="0" borderId="0" xfId="0" applyFont="1" applyAlignment="1" applyProtection="1">
      <alignment horizontal="center" vertical="center"/>
      <protection hidden="1"/>
    </xf>
    <xf numFmtId="0" fontId="18" fillId="0" borderId="0" xfId="0" applyFont="1" applyAlignment="1" applyProtection="1">
      <alignment vertical="center"/>
      <protection hidden="1"/>
    </xf>
    <xf numFmtId="0" fontId="18" fillId="0" borderId="0" xfId="0" applyFont="1" applyAlignment="1">
      <alignment vertical="center"/>
    </xf>
    <xf numFmtId="0" fontId="21" fillId="0" borderId="0" xfId="0" applyFont="1" applyAlignment="1">
      <alignment vertical="center" wrapText="1"/>
    </xf>
    <xf numFmtId="0" fontId="11" fillId="0" borderId="0" xfId="0" applyFont="1" applyAlignment="1" applyProtection="1">
      <alignment horizontal="center" vertical="center" wrapText="1"/>
      <protection hidden="1"/>
    </xf>
    <xf numFmtId="0" fontId="23" fillId="0" borderId="0" xfId="0" applyFont="1" applyAlignment="1" applyProtection="1">
      <alignment horizontal="center" vertical="center" wrapText="1"/>
      <protection hidden="1"/>
    </xf>
    <xf numFmtId="0" fontId="23" fillId="0" borderId="0" xfId="0" applyFont="1" applyAlignment="1" applyProtection="1">
      <alignment vertical="center"/>
      <protection hidden="1"/>
    </xf>
    <xf numFmtId="0" fontId="11" fillId="0" borderId="3" xfId="0" applyFont="1" applyBorder="1" applyAlignment="1" applyProtection="1">
      <alignment vertical="center"/>
      <protection hidden="1"/>
    </xf>
    <xf numFmtId="0" fontId="11" fillId="0" borderId="5" xfId="0" applyFont="1" applyBorder="1" applyAlignment="1" applyProtection="1">
      <alignment vertical="center"/>
      <protection hidden="1"/>
    </xf>
    <xf numFmtId="0" fontId="11" fillId="0" borderId="9" xfId="0" applyFont="1" applyBorder="1" applyAlignment="1" applyProtection="1">
      <alignment vertical="center"/>
      <protection hidden="1"/>
    </xf>
    <xf numFmtId="0" fontId="11" fillId="0" borderId="6" xfId="0" applyFont="1" applyBorder="1" applyAlignment="1" applyProtection="1">
      <alignment vertical="center"/>
      <protection hidden="1"/>
    </xf>
    <xf numFmtId="0" fontId="15" fillId="0" borderId="0" xfId="0" applyFont="1" applyAlignment="1" applyProtection="1">
      <alignment vertical="center"/>
      <protection hidden="1"/>
    </xf>
    <xf numFmtId="0" fontId="11" fillId="0" borderId="8" xfId="0" applyFont="1" applyBorder="1" applyAlignment="1" applyProtection="1">
      <alignment vertical="center"/>
      <protection hidden="1"/>
    </xf>
    <xf numFmtId="0" fontId="27" fillId="0" borderId="0" xfId="0" applyFont="1" applyAlignment="1" applyProtection="1">
      <alignment vertical="center"/>
      <protection hidden="1"/>
    </xf>
    <xf numFmtId="0" fontId="11" fillId="6" borderId="6" xfId="0" applyFont="1" applyFill="1" applyBorder="1" applyAlignment="1" applyProtection="1">
      <alignment vertical="center"/>
      <protection hidden="1"/>
    </xf>
    <xf numFmtId="0" fontId="11" fillId="6" borderId="0" xfId="0" applyFont="1" applyFill="1" applyAlignment="1" applyProtection="1">
      <alignment vertical="center"/>
      <protection hidden="1"/>
    </xf>
    <xf numFmtId="0" fontId="16" fillId="0" borderId="0" xfId="0" applyFont="1" applyAlignment="1">
      <alignment vertical="center"/>
    </xf>
    <xf numFmtId="0" fontId="11" fillId="0" borderId="0" xfId="0" applyFont="1" applyAlignment="1" applyProtection="1">
      <alignment horizontal="center" vertical="center" textRotation="180"/>
      <protection hidden="1"/>
    </xf>
    <xf numFmtId="0" fontId="15" fillId="0" borderId="0" xfId="0" applyFont="1" applyAlignment="1" applyProtection="1">
      <alignment horizontal="center" vertical="center" textRotation="180"/>
      <protection hidden="1"/>
    </xf>
    <xf numFmtId="0" fontId="15" fillId="0" borderId="0" xfId="0" applyFont="1" applyAlignment="1" applyProtection="1">
      <alignment horizontal="center" vertical="center"/>
      <protection hidden="1"/>
    </xf>
    <xf numFmtId="0" fontId="11" fillId="0" borderId="0" xfId="0" applyFont="1" applyAlignment="1" applyProtection="1">
      <alignment horizontal="left" vertical="center" wrapText="1"/>
      <protection hidden="1"/>
    </xf>
    <xf numFmtId="0" fontId="11" fillId="0" borderId="0" xfId="0" applyFont="1" applyAlignment="1" applyProtection="1">
      <alignment horizontal="left" vertical="center"/>
      <protection hidden="1"/>
    </xf>
    <xf numFmtId="0" fontId="19" fillId="0" borderId="0" xfId="0" applyFont="1" applyAlignment="1" applyProtection="1">
      <alignment horizontal="center" vertical="center"/>
      <protection hidden="1"/>
    </xf>
    <xf numFmtId="164" fontId="11" fillId="0" borderId="0" xfId="0" applyNumberFormat="1" applyFont="1" applyAlignment="1" applyProtection="1">
      <alignment horizontal="center" vertical="center"/>
      <protection hidden="1"/>
    </xf>
    <xf numFmtId="0" fontId="28" fillId="0" borderId="8" xfId="0" applyFont="1" applyBorder="1" applyAlignment="1" applyProtection="1">
      <alignment vertical="center"/>
      <protection hidden="1"/>
    </xf>
    <xf numFmtId="0" fontId="22" fillId="0" borderId="0" xfId="0" applyFont="1" applyAlignment="1" applyProtection="1">
      <alignment horizontal="center" vertical="center" wrapText="1"/>
      <protection hidden="1"/>
    </xf>
    <xf numFmtId="164" fontId="11" fillId="0" borderId="0" xfId="0" applyNumberFormat="1" applyFont="1" applyAlignment="1" applyProtection="1">
      <alignment horizontal="left" vertical="center"/>
      <protection hidden="1"/>
    </xf>
    <xf numFmtId="0" fontId="24" fillId="6" borderId="0" xfId="0" applyFont="1" applyFill="1" applyAlignment="1" applyProtection="1">
      <alignment horizontal="center" vertical="center" wrapText="1"/>
      <protection hidden="1"/>
    </xf>
    <xf numFmtId="0" fontId="22" fillId="9" borderId="15" xfId="0" applyFont="1" applyFill="1" applyBorder="1" applyAlignment="1" applyProtection="1">
      <alignment horizontal="center" vertical="center" wrapText="1"/>
      <protection hidden="1"/>
    </xf>
    <xf numFmtId="0" fontId="22" fillId="12" borderId="15" xfId="0" applyFont="1" applyFill="1" applyBorder="1" applyAlignment="1" applyProtection="1">
      <alignment horizontal="center" vertical="center" wrapText="1"/>
      <protection hidden="1"/>
    </xf>
    <xf numFmtId="0" fontId="26" fillId="0" borderId="0" xfId="0" applyFont="1" applyAlignment="1" applyProtection="1">
      <alignment horizontal="center" vertical="center" wrapText="1"/>
      <protection hidden="1"/>
    </xf>
    <xf numFmtId="0" fontId="22" fillId="8" borderId="1" xfId="0" applyFont="1" applyFill="1" applyBorder="1" applyAlignment="1" applyProtection="1">
      <alignment horizontal="center" vertical="center" wrapText="1"/>
      <protection hidden="1"/>
    </xf>
    <xf numFmtId="0" fontId="22" fillId="7" borderId="1" xfId="0" applyFont="1" applyFill="1" applyBorder="1" applyAlignment="1" applyProtection="1">
      <alignment horizontal="center" vertical="center" wrapText="1"/>
      <protection hidden="1"/>
    </xf>
    <xf numFmtId="0" fontId="31" fillId="7" borderId="1" xfId="0" applyFont="1" applyFill="1" applyBorder="1" applyAlignment="1" applyProtection="1">
      <alignment horizontal="center" vertical="center" wrapText="1"/>
      <protection hidden="1"/>
    </xf>
    <xf numFmtId="0" fontId="19" fillId="0" borderId="0" xfId="0" applyFont="1" applyAlignment="1" applyProtection="1">
      <alignment horizontal="center" vertical="center" wrapText="1"/>
      <protection hidden="1"/>
    </xf>
    <xf numFmtId="1" fontId="19" fillId="0" borderId="0" xfId="0" applyNumberFormat="1" applyFont="1" applyAlignment="1" applyProtection="1">
      <alignment horizontal="center" vertical="center"/>
      <protection hidden="1"/>
    </xf>
    <xf numFmtId="1" fontId="32" fillId="0" borderId="0" xfId="0" applyNumberFormat="1" applyFont="1" applyAlignment="1" applyProtection="1">
      <alignment horizontal="center" vertical="center"/>
      <protection hidden="1"/>
    </xf>
    <xf numFmtId="9" fontId="19" fillId="0" borderId="0" xfId="0" applyNumberFormat="1" applyFont="1" applyAlignment="1" applyProtection="1">
      <alignment horizontal="center" vertical="center" wrapText="1"/>
      <protection hidden="1"/>
    </xf>
    <xf numFmtId="1" fontId="19" fillId="0" borderId="0" xfId="0" applyNumberFormat="1" applyFont="1" applyAlignment="1" applyProtection="1">
      <alignment horizontal="center" vertical="center" wrapText="1"/>
      <protection hidden="1"/>
    </xf>
    <xf numFmtId="0" fontId="34" fillId="0" borderId="0" xfId="0" applyFont="1" applyAlignment="1" applyProtection="1">
      <alignment horizontal="left" vertical="center" wrapText="1"/>
      <protection hidden="1"/>
    </xf>
    <xf numFmtId="3" fontId="37" fillId="0" borderId="1" xfId="7" applyNumberFormat="1" applyFont="1" applyBorder="1" applyAlignment="1">
      <alignment horizontal="right" vertical="center" wrapText="1" indent="1"/>
    </xf>
    <xf numFmtId="3" fontId="37" fillId="0" borderId="10" xfId="7" applyNumberFormat="1" applyFont="1" applyBorder="1" applyAlignment="1">
      <alignment horizontal="right" vertical="center" wrapText="1" indent="1"/>
    </xf>
    <xf numFmtId="0" fontId="34" fillId="0" borderId="1" xfId="0" applyFont="1" applyBorder="1" applyAlignment="1">
      <alignment horizontal="center"/>
    </xf>
    <xf numFmtId="0" fontId="34" fillId="2" borderId="1" xfId="0" applyFont="1" applyFill="1" applyBorder="1" applyAlignment="1">
      <alignment horizontal="center"/>
    </xf>
    <xf numFmtId="0" fontId="34" fillId="2" borderId="1" xfId="0" applyFont="1" applyFill="1" applyBorder="1" applyAlignment="1" applyProtection="1">
      <alignment horizontal="center" vertical="center"/>
      <protection hidden="1"/>
    </xf>
    <xf numFmtId="0" fontId="38" fillId="2" borderId="1" xfId="0" applyFont="1" applyFill="1" applyBorder="1" applyAlignment="1" applyProtection="1">
      <alignment horizontal="center" vertical="center"/>
      <protection hidden="1"/>
    </xf>
    <xf numFmtId="0" fontId="17" fillId="13" borderId="1" xfId="0" applyFont="1" applyFill="1" applyBorder="1" applyAlignment="1" applyProtection="1">
      <alignment horizontal="center" vertical="center" wrapText="1"/>
      <protection hidden="1"/>
    </xf>
    <xf numFmtId="166" fontId="17" fillId="13" borderId="1" xfId="0" applyNumberFormat="1" applyFont="1" applyFill="1" applyBorder="1" applyAlignment="1">
      <alignment horizontal="center" vertical="center"/>
    </xf>
    <xf numFmtId="3" fontId="39" fillId="3" borderId="1" xfId="0" applyNumberFormat="1" applyFont="1" applyFill="1" applyBorder="1" applyAlignment="1">
      <alignment horizontal="center" vertical="center"/>
    </xf>
    <xf numFmtId="0" fontId="39" fillId="3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 applyProtection="1">
      <alignment horizontal="left" vertical="center" wrapText="1"/>
      <protection hidden="1"/>
    </xf>
    <xf numFmtId="0" fontId="15" fillId="10" borderId="1" xfId="0" applyFont="1" applyFill="1" applyBorder="1" applyAlignment="1" applyProtection="1">
      <alignment horizontal="center" vertical="center" wrapText="1"/>
      <protection hidden="1"/>
    </xf>
    <xf numFmtId="0" fontId="18" fillId="0" borderId="0" xfId="0" applyFont="1" applyAlignment="1" applyProtection="1">
      <alignment horizontal="center" vertical="center" wrapText="1"/>
      <protection hidden="1"/>
    </xf>
    <xf numFmtId="0" fontId="15" fillId="0" borderId="0" xfId="0" applyFont="1" applyAlignment="1" applyProtection="1">
      <alignment horizontal="center" vertical="center" wrapText="1"/>
      <protection hidden="1"/>
    </xf>
    <xf numFmtId="0" fontId="11" fillId="0" borderId="0" xfId="0" applyFont="1" applyAlignment="1" applyProtection="1">
      <alignment vertical="center" wrapText="1"/>
      <protection hidden="1"/>
    </xf>
    <xf numFmtId="0" fontId="11" fillId="16" borderId="4" xfId="0" applyFont="1" applyFill="1" applyBorder="1" applyAlignment="1" applyProtection="1">
      <alignment vertical="center"/>
      <protection hidden="1"/>
    </xf>
    <xf numFmtId="0" fontId="11" fillId="16" borderId="0" xfId="0" applyFont="1" applyFill="1" applyAlignment="1" applyProtection="1">
      <alignment vertical="center"/>
      <protection hidden="1"/>
    </xf>
    <xf numFmtId="0" fontId="11" fillId="16" borderId="7" xfId="0" applyFont="1" applyFill="1" applyBorder="1" applyAlignment="1" applyProtection="1">
      <alignment vertical="center"/>
      <protection hidden="1"/>
    </xf>
    <xf numFmtId="0" fontId="11" fillId="16" borderId="8" xfId="0" applyFont="1" applyFill="1" applyBorder="1" applyAlignment="1" applyProtection="1">
      <alignment vertical="center"/>
      <protection hidden="1"/>
    </xf>
    <xf numFmtId="0" fontId="11" fillId="16" borderId="6" xfId="0" applyFont="1" applyFill="1" applyBorder="1" applyAlignment="1" applyProtection="1">
      <alignment vertical="center"/>
      <protection hidden="1"/>
    </xf>
    <xf numFmtId="0" fontId="11" fillId="16" borderId="2" xfId="0" applyFont="1" applyFill="1" applyBorder="1" applyAlignment="1" applyProtection="1">
      <alignment vertical="center"/>
      <protection hidden="1"/>
    </xf>
    <xf numFmtId="0" fontId="11" fillId="18" borderId="3" xfId="0" applyFont="1" applyFill="1" applyBorder="1" applyAlignment="1" applyProtection="1">
      <alignment vertical="center"/>
      <protection hidden="1"/>
    </xf>
    <xf numFmtId="0" fontId="11" fillId="18" borderId="5" xfId="0" applyFont="1" applyFill="1" applyBorder="1" applyAlignment="1" applyProtection="1">
      <alignment vertical="center"/>
      <protection hidden="1"/>
    </xf>
    <xf numFmtId="0" fontId="15" fillId="18" borderId="5" xfId="0" applyFont="1" applyFill="1" applyBorder="1" applyAlignment="1" applyProtection="1">
      <alignment vertical="center"/>
      <protection hidden="1"/>
    </xf>
    <xf numFmtId="0" fontId="11" fillId="18" borderId="9" xfId="0" applyFont="1" applyFill="1" applyBorder="1" applyAlignment="1" applyProtection="1">
      <alignment vertical="center"/>
      <protection hidden="1"/>
    </xf>
    <xf numFmtId="0" fontId="15" fillId="19" borderId="1" xfId="0" applyFont="1" applyFill="1" applyBorder="1" applyAlignment="1" applyProtection="1">
      <alignment vertical="center"/>
      <protection hidden="1"/>
    </xf>
    <xf numFmtId="0" fontId="11" fillId="0" borderId="2" xfId="0" applyFont="1" applyBorder="1" applyAlignment="1" applyProtection="1">
      <alignment vertical="center"/>
      <protection hidden="1"/>
    </xf>
    <xf numFmtId="0" fontId="11" fillId="0" borderId="4" xfId="0" applyFont="1" applyBorder="1" applyAlignment="1" applyProtection="1">
      <alignment vertical="center"/>
      <protection hidden="1"/>
    </xf>
    <xf numFmtId="0" fontId="11" fillId="0" borderId="7" xfId="0" applyFont="1" applyBorder="1" applyAlignment="1" applyProtection="1">
      <alignment vertical="center"/>
      <protection hidden="1"/>
    </xf>
    <xf numFmtId="0" fontId="15" fillId="2" borderId="13" xfId="0" applyFont="1" applyFill="1" applyBorder="1" applyAlignment="1" applyProtection="1">
      <alignment horizontal="left" vertical="center" wrapText="1"/>
      <protection hidden="1"/>
    </xf>
    <xf numFmtId="0" fontId="15" fillId="0" borderId="4" xfId="0" applyFont="1" applyBorder="1" applyAlignment="1" applyProtection="1">
      <alignment horizontal="center" vertical="center" textRotation="180"/>
      <protection hidden="1"/>
    </xf>
    <xf numFmtId="0" fontId="27" fillId="10" borderId="1" xfId="0" applyFont="1" applyFill="1" applyBorder="1" applyAlignment="1" applyProtection="1">
      <alignment horizontal="center" vertical="center" wrapText="1"/>
      <protection hidden="1"/>
    </xf>
    <xf numFmtId="0" fontId="40" fillId="0" borderId="0" xfId="0" applyFont="1" applyAlignment="1">
      <alignment horizontal="right" vertical="top"/>
    </xf>
    <xf numFmtId="0" fontId="18" fillId="0" borderId="0" xfId="0" applyFont="1" applyAlignment="1">
      <alignment horizontal="right" vertical="top"/>
    </xf>
    <xf numFmtId="0" fontId="34" fillId="0" borderId="0" xfId="0" applyFont="1" applyAlignment="1">
      <alignment horizontal="center"/>
    </xf>
    <xf numFmtId="167" fontId="11" fillId="0" borderId="0" xfId="6" applyNumberFormat="1" applyFont="1" applyBorder="1" applyAlignment="1">
      <alignment horizontal="center"/>
    </xf>
    <xf numFmtId="3" fontId="37" fillId="0" borderId="0" xfId="7" applyNumberFormat="1" applyFont="1" applyAlignment="1">
      <alignment horizontal="right" vertical="center" wrapText="1" indent="1"/>
    </xf>
    <xf numFmtId="0" fontId="36" fillId="0" borderId="6" xfId="0" applyFont="1" applyBorder="1" applyAlignment="1" applyProtection="1">
      <alignment vertical="center"/>
      <protection hidden="1"/>
    </xf>
    <xf numFmtId="0" fontId="12" fillId="0" borderId="0" xfId="0" applyFont="1" applyAlignment="1" applyProtection="1">
      <alignment vertical="center"/>
      <protection hidden="1"/>
    </xf>
    <xf numFmtId="0" fontId="36" fillId="0" borderId="0" xfId="0" applyFont="1" applyAlignment="1" applyProtection="1">
      <alignment vertical="center"/>
      <protection hidden="1"/>
    </xf>
    <xf numFmtId="0" fontId="11" fillId="0" borderId="0" xfId="0" applyFont="1" applyAlignment="1" applyProtection="1">
      <alignment horizontal="center"/>
      <protection hidden="1"/>
    </xf>
    <xf numFmtId="0" fontId="11" fillId="0" borderId="0" xfId="0" applyFont="1" applyProtection="1">
      <protection hidden="1"/>
    </xf>
    <xf numFmtId="0" fontId="41" fillId="0" borderId="0" xfId="1" applyFont="1" applyAlignment="1" applyProtection="1">
      <alignment horizontal="left" vertical="center" wrapText="1"/>
      <protection hidden="1"/>
    </xf>
    <xf numFmtId="0" fontId="41" fillId="0" borderId="0" xfId="1" applyFont="1" applyAlignment="1" applyProtection="1">
      <alignment horizontal="left" vertical="top"/>
      <protection hidden="1"/>
    </xf>
    <xf numFmtId="0" fontId="41" fillId="0" borderId="0" xfId="1" applyFont="1" applyAlignment="1" applyProtection="1">
      <alignment horizontal="center" vertical="top"/>
      <protection hidden="1"/>
    </xf>
    <xf numFmtId="0" fontId="41" fillId="0" borderId="0" xfId="3" applyFont="1" applyAlignment="1" applyProtection="1">
      <alignment horizontal="left" vertical="center"/>
      <protection hidden="1"/>
    </xf>
    <xf numFmtId="0" fontId="9" fillId="0" borderId="0" xfId="0" applyFont="1" applyProtection="1">
      <protection hidden="1"/>
    </xf>
    <xf numFmtId="0" fontId="9" fillId="0" borderId="0" xfId="0" applyFont="1" applyAlignment="1" applyProtection="1">
      <alignment wrapText="1"/>
      <protection hidden="1"/>
    </xf>
    <xf numFmtId="0" fontId="23" fillId="0" borderId="17" xfId="0" applyFont="1" applyBorder="1" applyAlignment="1" applyProtection="1">
      <alignment vertical="center"/>
      <protection hidden="1"/>
    </xf>
    <xf numFmtId="0" fontId="11" fillId="0" borderId="18" xfId="0" applyFont="1" applyBorder="1" applyAlignment="1" applyProtection="1">
      <alignment vertical="center"/>
      <protection hidden="1"/>
    </xf>
    <xf numFmtId="0" fontId="11" fillId="0" borderId="19" xfId="0" applyFont="1" applyBorder="1" applyAlignment="1" applyProtection="1">
      <alignment vertical="center"/>
      <protection hidden="1"/>
    </xf>
    <xf numFmtId="0" fontId="11" fillId="0" borderId="20" xfId="0" applyFont="1" applyBorder="1" applyAlignment="1" applyProtection="1">
      <alignment vertical="center"/>
      <protection hidden="1"/>
    </xf>
    <xf numFmtId="0" fontId="23" fillId="0" borderId="21" xfId="0" applyFont="1" applyBorder="1" applyAlignment="1" applyProtection="1">
      <alignment vertical="center"/>
      <protection hidden="1"/>
    </xf>
    <xf numFmtId="0" fontId="15" fillId="0" borderId="21" xfId="0" applyFont="1" applyBorder="1" applyAlignment="1" applyProtection="1">
      <alignment horizontal="center" vertical="center" textRotation="180"/>
      <protection hidden="1"/>
    </xf>
    <xf numFmtId="0" fontId="11" fillId="0" borderId="22" xfId="0" applyFont="1" applyBorder="1" applyAlignment="1" applyProtection="1">
      <alignment vertical="center"/>
      <protection hidden="1"/>
    </xf>
    <xf numFmtId="0" fontId="11" fillId="0" borderId="21" xfId="0" applyFont="1" applyBorder="1" applyAlignment="1" applyProtection="1">
      <alignment vertical="center"/>
      <protection hidden="1"/>
    </xf>
    <xf numFmtId="0" fontId="11" fillId="0" borderId="19" xfId="0" applyFont="1" applyBorder="1" applyAlignment="1" applyProtection="1">
      <alignment horizontal="center" vertical="center" textRotation="180"/>
      <protection hidden="1"/>
    </xf>
    <xf numFmtId="0" fontId="27" fillId="0" borderId="19" xfId="0" applyFont="1" applyBorder="1" applyAlignment="1" applyProtection="1">
      <alignment vertical="center"/>
      <protection hidden="1"/>
    </xf>
    <xf numFmtId="0" fontId="23" fillId="0" borderId="19" xfId="0" applyFont="1" applyBorder="1" applyAlignment="1" applyProtection="1">
      <alignment vertical="center"/>
      <protection hidden="1"/>
    </xf>
    <xf numFmtId="0" fontId="11" fillId="0" borderId="18" xfId="0" applyFont="1" applyBorder="1" applyAlignment="1" applyProtection="1">
      <alignment horizontal="center" vertical="center"/>
      <protection hidden="1"/>
    </xf>
    <xf numFmtId="0" fontId="11" fillId="0" borderId="20" xfId="0" applyFont="1" applyBorder="1" applyAlignment="1" applyProtection="1">
      <alignment horizontal="center" vertical="center"/>
      <protection hidden="1"/>
    </xf>
    <xf numFmtId="0" fontId="11" fillId="0" borderId="23" xfId="0" applyFont="1" applyBorder="1" applyAlignment="1" applyProtection="1">
      <alignment horizontal="center" vertical="center"/>
      <protection hidden="1"/>
    </xf>
    <xf numFmtId="0" fontId="11" fillId="0" borderId="23" xfId="0" applyFont="1" applyBorder="1" applyAlignment="1" applyProtection="1">
      <alignment vertical="center"/>
      <protection hidden="1"/>
    </xf>
    <xf numFmtId="0" fontId="29" fillId="0" borderId="8" xfId="0" applyFont="1" applyBorder="1" applyAlignment="1" applyProtection="1">
      <alignment horizontal="center" vertical="center" wrapText="1"/>
      <protection hidden="1"/>
    </xf>
    <xf numFmtId="0" fontId="33" fillId="10" borderId="11" xfId="0" applyFont="1" applyFill="1" applyBorder="1" applyAlignment="1" applyProtection="1">
      <alignment horizontal="left" vertical="center" wrapText="1"/>
      <protection hidden="1"/>
    </xf>
    <xf numFmtId="0" fontId="33" fillId="10" borderId="12" xfId="0" applyFont="1" applyFill="1" applyBorder="1" applyAlignment="1" applyProtection="1">
      <alignment horizontal="left" vertical="center"/>
      <protection hidden="1"/>
    </xf>
    <xf numFmtId="0" fontId="30" fillId="10" borderId="1" xfId="0" applyFont="1" applyFill="1" applyBorder="1" applyAlignment="1" applyProtection="1">
      <alignment horizontal="center" vertical="center" wrapText="1"/>
      <protection hidden="1"/>
    </xf>
    <xf numFmtId="0" fontId="15" fillId="2" borderId="15" xfId="0" applyFont="1" applyFill="1" applyBorder="1" applyAlignment="1" applyProtection="1">
      <alignment horizontal="center" vertical="center" wrapText="1"/>
      <protection hidden="1"/>
    </xf>
    <xf numFmtId="0" fontId="31" fillId="2" borderId="10" xfId="0" applyFont="1" applyFill="1" applyBorder="1" applyAlignment="1" applyProtection="1">
      <alignment horizontal="center" vertical="center" wrapText="1"/>
      <protection hidden="1"/>
    </xf>
    <xf numFmtId="0" fontId="34" fillId="3" borderId="12" xfId="0" applyFont="1" applyFill="1" applyBorder="1" applyAlignment="1" applyProtection="1">
      <alignment horizontal="left" vertical="center" wrapText="1"/>
      <protection hidden="1"/>
    </xf>
    <xf numFmtId="0" fontId="33" fillId="3" borderId="12" xfId="0" applyFont="1" applyFill="1" applyBorder="1" applyAlignment="1" applyProtection="1">
      <alignment horizontal="left" vertical="center"/>
      <protection hidden="1"/>
    </xf>
    <xf numFmtId="0" fontId="33" fillId="3" borderId="13" xfId="0" applyFont="1" applyFill="1" applyBorder="1" applyAlignment="1" applyProtection="1">
      <alignment horizontal="left" vertical="center"/>
      <protection hidden="1"/>
    </xf>
    <xf numFmtId="0" fontId="4" fillId="0" borderId="13" xfId="0" applyFont="1" applyBorder="1" applyAlignment="1" applyProtection="1">
      <alignment horizontal="center" vertical="center"/>
      <protection hidden="1"/>
    </xf>
    <xf numFmtId="0" fontId="4" fillId="0" borderId="3" xfId="0" applyFont="1" applyBorder="1" applyAlignment="1" applyProtection="1">
      <alignment horizontal="center" vertical="center"/>
      <protection hidden="1"/>
    </xf>
    <xf numFmtId="0" fontId="4" fillId="0" borderId="5" xfId="0" applyFont="1" applyBorder="1" applyAlignment="1" applyProtection="1">
      <alignment horizontal="center" vertical="center"/>
      <protection hidden="1"/>
    </xf>
    <xf numFmtId="1" fontId="7" fillId="6" borderId="1" xfId="0" applyNumberFormat="1" applyFont="1" applyFill="1" applyBorder="1" applyAlignment="1">
      <alignment horizontal="center" vertical="center"/>
    </xf>
    <xf numFmtId="0" fontId="45" fillId="0" borderId="1" xfId="0" applyFont="1" applyBorder="1" applyAlignment="1" applyProtection="1">
      <alignment horizontal="center" vertical="center"/>
      <protection hidden="1"/>
    </xf>
    <xf numFmtId="168" fontId="46" fillId="0" borderId="1" xfId="0" applyNumberFormat="1" applyFont="1" applyBorder="1" applyAlignment="1">
      <alignment horizontal="center" vertical="center"/>
    </xf>
    <xf numFmtId="0" fontId="20" fillId="6" borderId="0" xfId="0" applyFont="1" applyFill="1" applyAlignment="1">
      <alignment horizontal="center" vertical="center" wrapText="1"/>
    </xf>
    <xf numFmtId="0" fontId="11" fillId="6" borderId="0" xfId="0" applyFont="1" applyFill="1" applyAlignment="1">
      <alignment horizontal="left" vertical="center" wrapText="1"/>
    </xf>
    <xf numFmtId="0" fontId="47" fillId="6" borderId="0" xfId="0" applyFont="1" applyFill="1" applyAlignment="1">
      <alignment vertical="center" wrapText="1"/>
    </xf>
    <xf numFmtId="0" fontId="31" fillId="6" borderId="0" xfId="0" applyFont="1" applyFill="1" applyAlignment="1">
      <alignment horizontal="left" vertical="center" wrapText="1"/>
    </xf>
    <xf numFmtId="14" fontId="11" fillId="6" borderId="0" xfId="0" applyNumberFormat="1" applyFont="1" applyFill="1" applyAlignment="1">
      <alignment horizontal="left" vertical="center" wrapText="1"/>
    </xf>
    <xf numFmtId="0" fontId="11" fillId="6" borderId="0" xfId="0" applyFont="1" applyFill="1" applyAlignment="1">
      <alignment horizontal="left" wrapText="1"/>
    </xf>
    <xf numFmtId="14" fontId="11" fillId="6" borderId="0" xfId="0" applyNumberFormat="1" applyFont="1" applyFill="1" applyAlignment="1">
      <alignment horizontal="left" wrapText="1"/>
    </xf>
    <xf numFmtId="0" fontId="11" fillId="6" borderId="0" xfId="0" applyFont="1" applyFill="1"/>
    <xf numFmtId="0" fontId="20" fillId="0" borderId="0" xfId="0" applyFont="1" applyAlignment="1" applyProtection="1">
      <alignment vertical="center"/>
      <protection hidden="1"/>
    </xf>
    <xf numFmtId="0" fontId="38" fillId="2" borderId="1" xfId="0" applyFont="1" applyFill="1" applyBorder="1" applyAlignment="1">
      <alignment vertical="center"/>
    </xf>
    <xf numFmtId="0" fontId="48" fillId="0" borderId="0" xfId="0" applyFont="1" applyAlignment="1" applyProtection="1">
      <alignment horizontal="center" vertical="center"/>
      <protection hidden="1"/>
    </xf>
    <xf numFmtId="0" fontId="17" fillId="0" borderId="1" xfId="0" applyFont="1" applyBorder="1" applyAlignment="1">
      <alignment vertical="center"/>
    </xf>
    <xf numFmtId="0" fontId="41" fillId="0" borderId="0" xfId="1" applyFont="1" applyAlignment="1" applyProtection="1">
      <alignment horizontal="center" vertical="center" wrapText="1"/>
      <protection hidden="1"/>
    </xf>
    <xf numFmtId="0" fontId="0" fillId="0" borderId="0" xfId="0" applyAlignment="1" applyProtection="1">
      <alignment wrapText="1"/>
      <protection hidden="1"/>
    </xf>
    <xf numFmtId="0" fontId="49" fillId="0" borderId="0" xfId="1" applyFont="1" applyAlignment="1" applyProtection="1">
      <alignment horizontal="center" vertical="center" wrapText="1"/>
      <protection hidden="1"/>
    </xf>
    <xf numFmtId="0" fontId="15" fillId="0" borderId="0" xfId="0" applyFont="1" applyAlignment="1" applyProtection="1">
      <alignment horizontal="center"/>
      <protection hidden="1"/>
    </xf>
    <xf numFmtId="0" fontId="15" fillId="0" borderId="0" xfId="0" applyFont="1" applyAlignment="1" applyProtection="1">
      <alignment horizontal="center" wrapText="1"/>
      <protection hidden="1"/>
    </xf>
    <xf numFmtId="0" fontId="50" fillId="0" borderId="0" xfId="0" applyFont="1" applyAlignment="1" applyProtection="1">
      <alignment wrapText="1"/>
      <protection hidden="1"/>
    </xf>
    <xf numFmtId="0" fontId="50" fillId="0" borderId="0" xfId="0" applyFont="1" applyProtection="1">
      <protection hidden="1"/>
    </xf>
    <xf numFmtId="0" fontId="15" fillId="10" borderId="1" xfId="0" applyFont="1" applyFill="1" applyBorder="1" applyAlignment="1">
      <alignment horizontal="left" vertical="center" wrapText="1"/>
    </xf>
    <xf numFmtId="0" fontId="15" fillId="20" borderId="1" xfId="0" applyFont="1" applyFill="1" applyBorder="1" applyAlignment="1">
      <alignment horizontal="left" vertical="center" wrapText="1"/>
    </xf>
    <xf numFmtId="0" fontId="15" fillId="20" borderId="1" xfId="0" applyFont="1" applyFill="1" applyBorder="1" applyAlignment="1">
      <alignment vertical="center"/>
    </xf>
    <xf numFmtId="0" fontId="15" fillId="10" borderId="1" xfId="0" applyFont="1" applyFill="1" applyBorder="1" applyAlignment="1">
      <alignment horizontal="left" vertical="center"/>
    </xf>
    <xf numFmtId="14" fontId="11" fillId="6" borderId="1" xfId="0" applyNumberFormat="1" applyFont="1" applyFill="1" applyBorder="1" applyAlignment="1">
      <alignment horizontal="center" vertical="center" wrapText="1"/>
    </xf>
    <xf numFmtId="0" fontId="4" fillId="0" borderId="0" xfId="0" applyFont="1" applyBorder="1" applyAlignment="1" applyProtection="1">
      <alignment vertical="center"/>
      <protection hidden="1"/>
    </xf>
    <xf numFmtId="0" fontId="4" fillId="0" borderId="0" xfId="0" applyFont="1" applyBorder="1" applyAlignment="1" applyProtection="1">
      <alignment vertical="center" wrapText="1"/>
      <protection hidden="1"/>
    </xf>
    <xf numFmtId="3" fontId="23" fillId="0" borderId="1" xfId="0" applyNumberFormat="1" applyFont="1" applyBorder="1" applyAlignment="1">
      <alignment horizontal="center"/>
    </xf>
    <xf numFmtId="3" fontId="51" fillId="0" borderId="1" xfId="7" applyNumberFormat="1" applyFont="1" applyBorder="1" applyAlignment="1">
      <alignment horizontal="right" vertical="center" wrapText="1" indent="1"/>
    </xf>
    <xf numFmtId="3" fontId="51" fillId="0" borderId="10" xfId="7" applyNumberFormat="1" applyFont="1" applyBorder="1" applyAlignment="1">
      <alignment horizontal="right" vertical="center" wrapText="1" indent="1"/>
    </xf>
    <xf numFmtId="0" fontId="5" fillId="21" borderId="1" xfId="0" applyFont="1" applyFill="1" applyBorder="1" applyAlignment="1" applyProtection="1">
      <alignment horizontal="center" vertical="center"/>
      <protection hidden="1"/>
    </xf>
    <xf numFmtId="0" fontId="5" fillId="0" borderId="1" xfId="0" applyFont="1" applyBorder="1" applyAlignment="1" applyProtection="1">
      <alignment horizontal="center" vertical="center" wrapText="1"/>
      <protection hidden="1"/>
    </xf>
    <xf numFmtId="0" fontId="5" fillId="21" borderId="1" xfId="0" applyFont="1" applyFill="1" applyBorder="1" applyAlignment="1" applyProtection="1">
      <alignment horizontal="center" vertical="center" wrapText="1"/>
      <protection hidden="1"/>
    </xf>
    <xf numFmtId="167" fontId="34" fillId="0" borderId="1" xfId="6" applyNumberFormat="1" applyFont="1" applyBorder="1" applyAlignment="1">
      <alignment horizontal="center"/>
    </xf>
    <xf numFmtId="166" fontId="17" fillId="10" borderId="1" xfId="0" applyNumberFormat="1" applyFont="1" applyFill="1" applyBorder="1" applyAlignment="1" applyProtection="1">
      <alignment horizontal="center" vertical="center"/>
      <protection hidden="1"/>
    </xf>
    <xf numFmtId="166" fontId="17" fillId="10" borderId="10" xfId="0" applyNumberFormat="1" applyFont="1" applyFill="1" applyBorder="1" applyAlignment="1" applyProtection="1">
      <alignment horizontal="center" vertical="center"/>
      <protection hidden="1"/>
    </xf>
    <xf numFmtId="166" fontId="38" fillId="2" borderId="1" xfId="0" applyNumberFormat="1" applyFont="1" applyFill="1" applyBorder="1" applyAlignment="1" applyProtection="1">
      <alignment horizontal="center" vertical="center"/>
      <protection hidden="1"/>
    </xf>
    <xf numFmtId="166" fontId="17" fillId="10" borderId="15" xfId="0" applyNumberFormat="1" applyFont="1" applyFill="1" applyBorder="1" applyAlignment="1" applyProtection="1">
      <alignment horizontal="center" vertical="center"/>
      <protection hidden="1"/>
    </xf>
    <xf numFmtId="166" fontId="17" fillId="10" borderId="1" xfId="0" applyNumberFormat="1" applyFont="1" applyFill="1" applyBorder="1" applyAlignment="1" applyProtection="1">
      <alignment horizontal="center"/>
      <protection hidden="1"/>
    </xf>
    <xf numFmtId="166" fontId="38" fillId="2" borderId="1" xfId="0" applyNumberFormat="1" applyFont="1" applyFill="1" applyBorder="1" applyAlignment="1" applyProtection="1">
      <alignment horizontal="center"/>
      <protection hidden="1"/>
    </xf>
    <xf numFmtId="166" fontId="17" fillId="10" borderId="10" xfId="0" applyNumberFormat="1" applyFont="1" applyFill="1" applyBorder="1" applyAlignment="1" applyProtection="1">
      <alignment horizontal="center"/>
      <protection hidden="1"/>
    </xf>
    <xf numFmtId="166" fontId="17" fillId="10" borderId="15" xfId="0" applyNumberFormat="1" applyFont="1" applyFill="1" applyBorder="1" applyAlignment="1" applyProtection="1">
      <alignment horizontal="center"/>
      <protection hidden="1"/>
    </xf>
    <xf numFmtId="14" fontId="11" fillId="6" borderId="1" xfId="0" applyNumberFormat="1" applyFont="1" applyFill="1" applyBorder="1" applyAlignment="1" applyProtection="1">
      <alignment horizontal="center" vertical="center" wrapText="1"/>
      <protection hidden="1"/>
    </xf>
    <xf numFmtId="0" fontId="20" fillId="0" borderId="0" xfId="0" applyFont="1" applyAlignment="1" applyProtection="1">
      <alignment horizontal="center" vertical="center"/>
      <protection hidden="1"/>
    </xf>
    <xf numFmtId="0" fontId="19" fillId="0" borderId="0" xfId="0" applyFont="1" applyAlignment="1" applyProtection="1">
      <alignment horizontal="left" vertical="center" wrapText="1"/>
      <protection hidden="1"/>
    </xf>
    <xf numFmtId="0" fontId="19" fillId="0" borderId="0" xfId="0" applyFont="1" applyAlignment="1" applyProtection="1">
      <alignment horizontal="left" vertical="center"/>
      <protection hidden="1"/>
    </xf>
    <xf numFmtId="0" fontId="15" fillId="18" borderId="10" xfId="0" applyFont="1" applyFill="1" applyBorder="1" applyAlignment="1" applyProtection="1">
      <alignment horizontal="center" vertical="center" wrapText="1"/>
      <protection hidden="1"/>
    </xf>
    <xf numFmtId="0" fontId="15" fillId="18" borderId="14" xfId="0" applyFont="1" applyFill="1" applyBorder="1" applyAlignment="1" applyProtection="1">
      <alignment horizontal="center" vertical="center" wrapText="1"/>
      <protection hidden="1"/>
    </xf>
    <xf numFmtId="0" fontId="15" fillId="18" borderId="15" xfId="0" applyFont="1" applyFill="1" applyBorder="1" applyAlignment="1" applyProtection="1">
      <alignment horizontal="center" vertical="center" wrapText="1"/>
      <protection hidden="1"/>
    </xf>
    <xf numFmtId="0" fontId="15" fillId="10" borderId="2" xfId="0" applyFont="1" applyFill="1" applyBorder="1" applyAlignment="1" applyProtection="1">
      <alignment horizontal="center" vertical="center" wrapText="1"/>
      <protection hidden="1"/>
    </xf>
    <xf numFmtId="0" fontId="15" fillId="10" borderId="6" xfId="0" applyFont="1" applyFill="1" applyBorder="1" applyAlignment="1" applyProtection="1">
      <alignment horizontal="center" vertical="center" wrapText="1"/>
      <protection hidden="1"/>
    </xf>
    <xf numFmtId="0" fontId="15" fillId="10" borderId="3" xfId="0" applyFont="1" applyFill="1" applyBorder="1" applyAlignment="1" applyProtection="1">
      <alignment horizontal="center" vertical="center" wrapText="1"/>
      <protection hidden="1"/>
    </xf>
    <xf numFmtId="0" fontId="15" fillId="10" borderId="7" xfId="0" applyFont="1" applyFill="1" applyBorder="1" applyAlignment="1" applyProtection="1">
      <alignment horizontal="center" vertical="center" wrapText="1"/>
      <protection hidden="1"/>
    </xf>
    <xf numFmtId="0" fontId="15" fillId="10" borderId="8" xfId="0" applyFont="1" applyFill="1" applyBorder="1" applyAlignment="1" applyProtection="1">
      <alignment horizontal="center" vertical="center" wrapText="1"/>
      <protection hidden="1"/>
    </xf>
    <xf numFmtId="0" fontId="15" fillId="10" borderId="9" xfId="0" applyFont="1" applyFill="1" applyBorder="1" applyAlignment="1" applyProtection="1">
      <alignment horizontal="center" vertical="center" wrapText="1"/>
      <protection hidden="1"/>
    </xf>
    <xf numFmtId="0" fontId="27" fillId="15" borderId="10" xfId="0" applyFont="1" applyFill="1" applyBorder="1" applyAlignment="1" applyProtection="1">
      <alignment horizontal="center" vertical="center"/>
      <protection hidden="1"/>
    </xf>
    <xf numFmtId="0" fontId="27" fillId="15" borderId="14" xfId="0" applyFont="1" applyFill="1" applyBorder="1" applyAlignment="1" applyProtection="1">
      <alignment horizontal="center" vertical="center"/>
      <protection hidden="1"/>
    </xf>
    <xf numFmtId="0" fontId="27" fillId="15" borderId="15" xfId="0" applyFont="1" applyFill="1" applyBorder="1" applyAlignment="1" applyProtection="1">
      <alignment horizontal="center" vertical="center"/>
      <protection hidden="1"/>
    </xf>
    <xf numFmtId="0" fontId="15" fillId="17" borderId="3" xfId="0" applyFont="1" applyFill="1" applyBorder="1" applyAlignment="1" applyProtection="1">
      <alignment horizontal="center" vertical="center"/>
      <protection hidden="1"/>
    </xf>
    <xf numFmtId="0" fontId="15" fillId="17" borderId="5" xfId="0" applyFont="1" applyFill="1" applyBorder="1" applyAlignment="1" applyProtection="1">
      <alignment horizontal="center" vertical="center"/>
      <protection hidden="1"/>
    </xf>
    <xf numFmtId="0" fontId="15" fillId="17" borderId="9" xfId="0" applyFont="1" applyFill="1" applyBorder="1" applyAlignment="1" applyProtection="1">
      <alignment horizontal="center" vertical="center"/>
      <protection hidden="1"/>
    </xf>
    <xf numFmtId="0" fontId="15" fillId="17" borderId="1" xfId="0" applyFont="1" applyFill="1" applyBorder="1" applyAlignment="1" applyProtection="1">
      <alignment horizontal="center" vertical="center"/>
      <protection hidden="1"/>
    </xf>
    <xf numFmtId="0" fontId="27" fillId="18" borderId="10" xfId="0" applyFont="1" applyFill="1" applyBorder="1" applyAlignment="1" applyProtection="1">
      <alignment horizontal="center" vertical="center" wrapText="1"/>
      <protection hidden="1"/>
    </xf>
    <xf numFmtId="0" fontId="27" fillId="18" borderId="14" xfId="0" applyFont="1" applyFill="1" applyBorder="1" applyAlignment="1" applyProtection="1">
      <alignment horizontal="center" vertical="center" wrapText="1"/>
      <protection hidden="1"/>
    </xf>
    <xf numFmtId="0" fontId="27" fillId="18" borderId="15" xfId="0" applyFont="1" applyFill="1" applyBorder="1" applyAlignment="1" applyProtection="1">
      <alignment horizontal="center" vertical="center" wrapText="1"/>
      <protection hidden="1"/>
    </xf>
    <xf numFmtId="0" fontId="27" fillId="15" borderId="11" xfId="0" applyFont="1" applyFill="1" applyBorder="1" applyAlignment="1" applyProtection="1">
      <alignment horizontal="center" vertical="center"/>
      <protection hidden="1"/>
    </xf>
    <xf numFmtId="0" fontId="27" fillId="15" borderId="1" xfId="0" applyFont="1" applyFill="1" applyBorder="1" applyAlignment="1" applyProtection="1">
      <alignment horizontal="center" vertical="center"/>
      <protection hidden="1"/>
    </xf>
    <xf numFmtId="0" fontId="15" fillId="17" borderId="1" xfId="0" applyFont="1" applyFill="1" applyBorder="1" applyAlignment="1" applyProtection="1">
      <alignment horizontal="center" vertical="center" wrapText="1"/>
      <protection hidden="1"/>
    </xf>
    <xf numFmtId="0" fontId="15" fillId="6" borderId="6" xfId="0" applyFont="1" applyFill="1" applyBorder="1" applyAlignment="1" applyProtection="1">
      <alignment horizontal="center" vertical="center" textRotation="180" wrapText="1"/>
      <protection hidden="1"/>
    </xf>
    <xf numFmtId="0" fontId="15" fillId="6" borderId="0" xfId="0" applyFont="1" applyFill="1" applyAlignment="1" applyProtection="1">
      <alignment horizontal="center" vertical="center" textRotation="180" wrapText="1"/>
      <protection hidden="1"/>
    </xf>
    <xf numFmtId="0" fontId="15" fillId="18" borderId="1" xfId="0" applyFont="1" applyFill="1" applyBorder="1" applyAlignment="1" applyProtection="1">
      <alignment horizontal="center" vertical="center"/>
      <protection hidden="1"/>
    </xf>
    <xf numFmtId="0" fontId="15" fillId="2" borderId="11" xfId="0" applyFont="1" applyFill="1" applyBorder="1" applyAlignment="1" applyProtection="1">
      <alignment horizontal="left" vertical="center"/>
      <protection hidden="1"/>
    </xf>
    <xf numFmtId="0" fontId="15" fillId="2" borderId="13" xfId="0" applyFont="1" applyFill="1" applyBorder="1" applyAlignment="1" applyProtection="1">
      <alignment horizontal="left" vertical="center"/>
      <protection hidden="1"/>
    </xf>
    <xf numFmtId="0" fontId="15" fillId="16" borderId="3" xfId="0" applyFont="1" applyFill="1" applyBorder="1" applyAlignment="1" applyProtection="1">
      <alignment horizontal="center" vertical="center"/>
      <protection hidden="1"/>
    </xf>
    <xf numFmtId="0" fontId="15" fillId="16" borderId="5" xfId="0" applyFont="1" applyFill="1" applyBorder="1" applyAlignment="1" applyProtection="1">
      <alignment horizontal="center" vertical="center"/>
      <protection hidden="1"/>
    </xf>
    <xf numFmtId="0" fontId="15" fillId="16" borderId="9" xfId="0" applyFont="1" applyFill="1" applyBorder="1" applyAlignment="1" applyProtection="1">
      <alignment horizontal="center" vertical="center"/>
      <protection hidden="1"/>
    </xf>
    <xf numFmtId="0" fontId="27" fillId="15" borderId="10" xfId="0" applyFont="1" applyFill="1" applyBorder="1" applyAlignment="1" applyProtection="1">
      <alignment horizontal="center" vertical="center" wrapText="1"/>
      <protection hidden="1"/>
    </xf>
    <xf numFmtId="0" fontId="27" fillId="15" borderId="14" xfId="0" applyFont="1" applyFill="1" applyBorder="1" applyAlignment="1" applyProtection="1">
      <alignment horizontal="center" vertical="center" wrapText="1"/>
      <protection hidden="1"/>
    </xf>
    <xf numFmtId="0" fontId="27" fillId="15" borderId="15" xfId="0" applyFont="1" applyFill="1" applyBorder="1" applyAlignment="1" applyProtection="1">
      <alignment horizontal="center" vertical="center" wrapText="1"/>
      <protection hidden="1"/>
    </xf>
    <xf numFmtId="0" fontId="15" fillId="17" borderId="10" xfId="0" applyFont="1" applyFill="1" applyBorder="1" applyAlignment="1" applyProtection="1">
      <alignment horizontal="center" vertical="center"/>
      <protection hidden="1"/>
    </xf>
    <xf numFmtId="0" fontId="15" fillId="17" borderId="14" xfId="0" applyFont="1" applyFill="1" applyBorder="1" applyAlignment="1" applyProtection="1">
      <alignment horizontal="center" vertical="center"/>
      <protection hidden="1"/>
    </xf>
    <xf numFmtId="0" fontId="15" fillId="17" borderId="15" xfId="0" applyFont="1" applyFill="1" applyBorder="1" applyAlignment="1" applyProtection="1">
      <alignment horizontal="center" vertical="center"/>
      <protection hidden="1"/>
    </xf>
    <xf numFmtId="0" fontId="27" fillId="14" borderId="1" xfId="0" applyFont="1" applyFill="1" applyBorder="1" applyAlignment="1" applyProtection="1">
      <alignment horizontal="center" vertical="center"/>
      <protection hidden="1"/>
    </xf>
    <xf numFmtId="0" fontId="27" fillId="14" borderId="10" xfId="0" applyFont="1" applyFill="1" applyBorder="1" applyAlignment="1" applyProtection="1">
      <alignment horizontal="center" vertical="center"/>
      <protection hidden="1"/>
    </xf>
    <xf numFmtId="0" fontId="15" fillId="17" borderId="2" xfId="0" applyFont="1" applyFill="1" applyBorder="1" applyAlignment="1" applyProtection="1">
      <alignment horizontal="center" vertical="center"/>
      <protection hidden="1"/>
    </xf>
    <xf numFmtId="0" fontId="15" fillId="17" borderId="4" xfId="0" applyFont="1" applyFill="1" applyBorder="1" applyAlignment="1" applyProtection="1">
      <alignment horizontal="center" vertical="center"/>
      <protection hidden="1"/>
    </xf>
    <xf numFmtId="0" fontId="15" fillId="17" borderId="7" xfId="0" applyFont="1" applyFill="1" applyBorder="1" applyAlignment="1" applyProtection="1">
      <alignment horizontal="center" vertical="center"/>
      <protection hidden="1"/>
    </xf>
    <xf numFmtId="0" fontId="15" fillId="18" borderId="10" xfId="0" applyFont="1" applyFill="1" applyBorder="1" applyAlignment="1" applyProtection="1">
      <alignment horizontal="center" vertical="center"/>
      <protection hidden="1"/>
    </xf>
    <xf numFmtId="0" fontId="15" fillId="18" borderId="14" xfId="0" applyFont="1" applyFill="1" applyBorder="1" applyAlignment="1" applyProtection="1">
      <alignment horizontal="center" vertical="center"/>
      <protection hidden="1"/>
    </xf>
    <xf numFmtId="0" fontId="15" fillId="18" borderId="15" xfId="0" applyFont="1" applyFill="1" applyBorder="1" applyAlignment="1" applyProtection="1">
      <alignment horizontal="center" vertical="center"/>
      <protection hidden="1"/>
    </xf>
    <xf numFmtId="0" fontId="11" fillId="0" borderId="0" xfId="0" applyFont="1" applyAlignment="1" applyProtection="1">
      <alignment horizontal="left" vertical="center" wrapText="1"/>
      <protection hidden="1"/>
    </xf>
    <xf numFmtId="0" fontId="11" fillId="0" borderId="0" xfId="0" applyFont="1" applyAlignment="1" applyProtection="1">
      <alignment horizontal="left" vertical="center"/>
      <protection hidden="1"/>
    </xf>
    <xf numFmtId="0" fontId="34" fillId="0" borderId="0" xfId="0" applyFont="1" applyAlignment="1" applyProtection="1">
      <alignment horizontal="left" vertical="center" wrapText="1"/>
      <protection hidden="1"/>
    </xf>
    <xf numFmtId="0" fontId="23" fillId="0" borderId="0" xfId="0" applyFont="1" applyAlignment="1">
      <alignment horizontal="left" vertical="top" wrapText="1"/>
    </xf>
    <xf numFmtId="0" fontId="35" fillId="0" borderId="0" xfId="0" applyFont="1" applyAlignment="1">
      <alignment horizontal="left" vertical="top" wrapText="1"/>
    </xf>
    <xf numFmtId="0" fontId="34" fillId="0" borderId="0" xfId="0" applyFont="1" applyAlignment="1">
      <alignment horizontal="left" vertical="top" wrapText="1"/>
    </xf>
    <xf numFmtId="0" fontId="15" fillId="18" borderId="2" xfId="0" applyFont="1" applyFill="1" applyBorder="1" applyAlignment="1" applyProtection="1">
      <alignment horizontal="center" vertical="center" wrapText="1"/>
      <protection hidden="1"/>
    </xf>
    <xf numFmtId="0" fontId="15" fillId="18" borderId="4" xfId="0" applyFont="1" applyFill="1" applyBorder="1" applyAlignment="1" applyProtection="1">
      <alignment horizontal="center" vertical="center" wrapText="1"/>
      <protection hidden="1"/>
    </xf>
    <xf numFmtId="0" fontId="15" fillId="18" borderId="7" xfId="0" applyFont="1" applyFill="1" applyBorder="1" applyAlignment="1" applyProtection="1">
      <alignment horizontal="center" vertical="center" wrapText="1"/>
      <protection hidden="1"/>
    </xf>
    <xf numFmtId="0" fontId="15" fillId="17" borderId="10" xfId="0" applyFont="1" applyFill="1" applyBorder="1" applyAlignment="1" applyProtection="1">
      <alignment horizontal="center" vertical="center" wrapText="1"/>
      <protection hidden="1"/>
    </xf>
    <xf numFmtId="0" fontId="15" fillId="17" borderId="14" xfId="0" applyFont="1" applyFill="1" applyBorder="1" applyAlignment="1" applyProtection="1">
      <alignment horizontal="center" vertical="center" wrapText="1"/>
      <protection hidden="1"/>
    </xf>
    <xf numFmtId="0" fontId="15" fillId="17" borderId="15" xfId="0" applyFont="1" applyFill="1" applyBorder="1" applyAlignment="1" applyProtection="1">
      <alignment horizontal="center" vertical="center" wrapText="1"/>
      <protection hidden="1"/>
    </xf>
    <xf numFmtId="0" fontId="19" fillId="0" borderId="0" xfId="0" applyFont="1" applyAlignment="1">
      <alignment horizontal="left" wrapText="1"/>
    </xf>
    <xf numFmtId="0" fontId="11" fillId="0" borderId="0" xfId="0" applyFont="1" applyAlignment="1">
      <alignment horizontal="left" wrapText="1"/>
    </xf>
    <xf numFmtId="0" fontId="15" fillId="10" borderId="11" xfId="0" applyFont="1" applyFill="1" applyBorder="1" applyAlignment="1" applyProtection="1">
      <alignment horizontal="center" vertical="center" wrapText="1"/>
      <protection hidden="1"/>
    </xf>
    <xf numFmtId="0" fontId="15" fillId="10" borderId="12" xfId="0" applyFont="1" applyFill="1" applyBorder="1" applyAlignment="1" applyProtection="1">
      <alignment horizontal="center" vertical="center" wrapText="1"/>
      <protection hidden="1"/>
    </xf>
    <xf numFmtId="0" fontId="15" fillId="10" borderId="13" xfId="0" applyFont="1" applyFill="1" applyBorder="1" applyAlignment="1" applyProtection="1">
      <alignment horizontal="center" vertical="center" wrapText="1"/>
      <protection hidden="1"/>
    </xf>
    <xf numFmtId="0" fontId="17" fillId="0" borderId="1" xfId="0" applyFont="1" applyBorder="1" applyAlignment="1">
      <alignment horizontal="center" vertical="center"/>
    </xf>
    <xf numFmtId="0" fontId="38" fillId="2" borderId="11" xfId="0" applyFont="1" applyFill="1" applyBorder="1" applyAlignment="1">
      <alignment horizontal="center"/>
    </xf>
    <xf numFmtId="0" fontId="38" fillId="2" borderId="12" xfId="0" applyFont="1" applyFill="1" applyBorder="1" applyAlignment="1">
      <alignment horizontal="center"/>
    </xf>
    <xf numFmtId="0" fontId="38" fillId="2" borderId="13" xfId="0" applyFont="1" applyFill="1" applyBorder="1" applyAlignment="1">
      <alignment horizontal="center"/>
    </xf>
    <xf numFmtId="0" fontId="15" fillId="10" borderId="1" xfId="0" applyFont="1" applyFill="1" applyBorder="1" applyAlignment="1" applyProtection="1">
      <alignment horizontal="center" vertical="center" wrapText="1"/>
      <protection hidden="1"/>
    </xf>
    <xf numFmtId="0" fontId="20" fillId="0" borderId="0" xfId="0" applyFont="1" applyAlignment="1" applyProtection="1">
      <alignment horizontal="left" vertical="center"/>
      <protection hidden="1"/>
    </xf>
    <xf numFmtId="0" fontId="11" fillId="0" borderId="0" xfId="0" applyFont="1" applyAlignment="1">
      <alignment wrapText="1"/>
    </xf>
    <xf numFmtId="0" fontId="19" fillId="0" borderId="0" xfId="0" applyFont="1" applyAlignment="1" applyProtection="1">
      <alignment horizontal="center" vertical="center" wrapText="1"/>
      <protection hidden="1"/>
    </xf>
    <xf numFmtId="0" fontId="30" fillId="10" borderId="1" xfId="0" applyFont="1" applyFill="1" applyBorder="1" applyAlignment="1" applyProtection="1">
      <alignment horizontal="center" vertical="center" wrapText="1"/>
      <protection hidden="1"/>
    </xf>
    <xf numFmtId="0" fontId="33" fillId="10" borderId="11" xfId="0" applyFont="1" applyFill="1" applyBorder="1" applyAlignment="1" applyProtection="1">
      <alignment horizontal="left" vertical="center" wrapText="1"/>
      <protection hidden="1"/>
    </xf>
    <xf numFmtId="0" fontId="33" fillId="10" borderId="12" xfId="0" applyFont="1" applyFill="1" applyBorder="1" applyAlignment="1" applyProtection="1">
      <alignment horizontal="left" vertical="center"/>
      <protection hidden="1"/>
    </xf>
    <xf numFmtId="0" fontId="33" fillId="10" borderId="13" xfId="0" applyFont="1" applyFill="1" applyBorder="1" applyAlignment="1" applyProtection="1">
      <alignment horizontal="left" vertical="center"/>
      <protection hidden="1"/>
    </xf>
    <xf numFmtId="0" fontId="25" fillId="11" borderId="11" xfId="0" applyFont="1" applyFill="1" applyBorder="1" applyAlignment="1" applyProtection="1">
      <alignment horizontal="center" vertical="center" wrapText="1"/>
      <protection locked="0" hidden="1"/>
    </xf>
    <xf numFmtId="0" fontId="25" fillId="11" borderId="13" xfId="0" applyFont="1" applyFill="1" applyBorder="1" applyAlignment="1" applyProtection="1">
      <alignment horizontal="center" vertical="center" wrapText="1"/>
      <protection locked="0" hidden="1"/>
    </xf>
    <xf numFmtId="0" fontId="33" fillId="0" borderId="8" xfId="0" applyFont="1" applyBorder="1" applyAlignment="1" applyProtection="1">
      <alignment horizontal="center" vertical="center" wrapText="1"/>
      <protection hidden="1"/>
    </xf>
    <xf numFmtId="0" fontId="22" fillId="4" borderId="0" xfId="0" applyFont="1" applyFill="1" applyAlignment="1" applyProtection="1">
      <alignment horizontal="center" vertical="center" wrapText="1"/>
      <protection hidden="1"/>
    </xf>
    <xf numFmtId="0" fontId="49" fillId="0" borderId="0" xfId="1" applyFont="1" applyAlignment="1" applyProtection="1">
      <alignment horizontal="center" vertical="center" wrapText="1"/>
      <protection hidden="1"/>
    </xf>
    <xf numFmtId="0" fontId="4" fillId="0" borderId="0" xfId="0" applyFont="1" applyBorder="1" applyAlignment="1" applyProtection="1">
      <alignment horizontal="center" vertical="center" wrapText="1"/>
      <protection hidden="1"/>
    </xf>
    <xf numFmtId="0" fontId="22" fillId="4" borderId="4" xfId="0" applyFont="1" applyFill="1" applyBorder="1" applyAlignment="1" applyProtection="1">
      <alignment horizontal="center" vertical="center" wrapText="1"/>
      <protection hidden="1"/>
    </xf>
    <xf numFmtId="0" fontId="29" fillId="0" borderId="8" xfId="0" applyFont="1" applyBorder="1" applyAlignment="1" applyProtection="1">
      <alignment horizontal="center" vertical="center" wrapText="1"/>
      <protection hidden="1"/>
    </xf>
  </cellXfs>
  <cellStyles count="12">
    <cellStyle name="Comma" xfId="6" builtinId="3"/>
    <cellStyle name="Comma 2" xfId="11" xr:uid="{81E70E8E-BCCB-47E9-9A80-7E51D4906DDA}"/>
    <cellStyle name="Normal" xfId="0" builtinId="0"/>
    <cellStyle name="Normal 2" xfId="1" xr:uid="{00000000-0005-0000-0000-000002000000}"/>
    <cellStyle name="Normal 2 2" xfId="2" xr:uid="{00000000-0005-0000-0000-000003000000}"/>
    <cellStyle name="Normal 3" xfId="3" xr:uid="{00000000-0005-0000-0000-000004000000}"/>
    <cellStyle name="Normal 4" xfId="4" xr:uid="{00000000-0005-0000-0000-000005000000}"/>
    <cellStyle name="Normal 4 2" xfId="9" xr:uid="{A89A043A-6DB4-4B21-8433-55A511D11CD2}"/>
    <cellStyle name="Normal 5" xfId="8" xr:uid="{E385C719-241B-4F34-B399-5C86EF1567DC}"/>
    <cellStyle name="Normal 6" xfId="7" xr:uid="{00000000-0005-0000-0000-000036000000}"/>
    <cellStyle name="Percent" xfId="5" builtinId="5"/>
    <cellStyle name="Percent 2" xfId="10" xr:uid="{29201D09-EA55-4F06-BE50-8E8EBE8A7013}"/>
  </cellStyles>
  <dxfs count="27">
    <dxf>
      <font>
        <b/>
        <i val="0"/>
      </font>
      <fill>
        <patternFill>
          <bgColor rgb="FFFFC000"/>
        </patternFill>
      </fill>
    </dxf>
    <dxf>
      <numFmt numFmtId="0" formatCode="General"/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b/>
        <i val="0"/>
      </font>
      <fill>
        <patternFill>
          <bgColor rgb="FFFFC000"/>
        </patternFill>
      </fill>
      <border>
        <left/>
        <right/>
        <top/>
        <bottom/>
        <vertical/>
        <horizontal/>
      </border>
    </dxf>
    <dxf>
      <fill>
        <patternFill patternType="solid">
          <bgColor theme="0" tint="-4.9989318521683403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0" tint="-0.2499465926084170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FFC000"/>
        </patternFill>
      </fill>
    </dxf>
    <dxf>
      <numFmt numFmtId="0" formatCode="General"/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b/>
        <i val="0"/>
      </font>
      <fill>
        <patternFill>
          <bgColor rgb="FFFFC000"/>
        </patternFill>
      </fill>
      <border>
        <left/>
        <right/>
        <top/>
        <bottom/>
        <vertical/>
        <horizontal/>
      </border>
    </dxf>
    <dxf>
      <fill>
        <patternFill patternType="solid">
          <bgColor theme="0" tint="-4.9989318521683403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0" tint="-0.2499465926084170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FFC000"/>
        </patternFill>
      </fill>
      <border>
        <left/>
        <right/>
        <top/>
        <bottom/>
      </border>
    </dxf>
    <dxf>
      <font>
        <b/>
        <i val="0"/>
      </font>
      <fill>
        <patternFill>
          <bgColor rgb="FFFFC000"/>
        </patternFill>
      </fill>
    </dxf>
    <dxf>
      <numFmt numFmtId="0" formatCode="General"/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b/>
        <i val="0"/>
      </font>
      <fill>
        <patternFill>
          <bgColor rgb="FFFFC000"/>
        </patternFill>
      </fill>
      <border>
        <left/>
        <right/>
        <top/>
        <bottom/>
        <vertical/>
        <horizontal/>
      </border>
    </dxf>
    <dxf>
      <fill>
        <patternFill>
          <bgColor rgb="FFFFC000"/>
        </patternFill>
      </fill>
    </dxf>
    <dxf>
      <fill>
        <patternFill patternType="solid">
          <bgColor theme="0" tint="-4.9989318521683403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0" tint="-0.2499465926084170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9" defaultPivotStyle="PivotStyleLight16"/>
  <colors>
    <mruColors>
      <color rgb="FFCE32B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pageSetUpPr fitToPage="1"/>
  </sheetPr>
  <dimension ref="A1:U72"/>
  <sheetViews>
    <sheetView showGridLines="0" tabSelected="1" zoomScaleNormal="100" workbookViewId="0">
      <pane ySplit="4" topLeftCell="A5" activePane="bottomLeft" state="frozen"/>
      <selection pane="bottomLeft" activeCell="C6" sqref="C6"/>
    </sheetView>
  </sheetViews>
  <sheetFormatPr defaultColWidth="9.140625" defaultRowHeight="14.25" x14ac:dyDescent="0.25"/>
  <cols>
    <col min="1" max="1" width="1.7109375" style="38" customWidth="1"/>
    <col min="2" max="2" width="9.140625" style="38" customWidth="1"/>
    <col min="3" max="3" width="17.42578125" style="38" bestFit="1" customWidth="1"/>
    <col min="4" max="4" width="5.85546875" style="39" bestFit="1" customWidth="1"/>
    <col min="5" max="5" width="10.5703125" style="39" customWidth="1"/>
    <col min="6" max="6" width="10.140625" style="39" customWidth="1"/>
    <col min="7" max="7" width="9.7109375" style="38" customWidth="1"/>
    <col min="8" max="8" width="18.42578125" style="38" bestFit="1" customWidth="1"/>
    <col min="9" max="9" width="9.140625" style="38" customWidth="1"/>
    <col min="10" max="10" width="23.5703125" style="38" hidden="1" customWidth="1"/>
    <col min="11" max="11" width="22.42578125" style="38" customWidth="1"/>
    <col min="12" max="12" width="18.42578125" style="38" bestFit="1" customWidth="1"/>
    <col min="13" max="13" width="12" style="38" customWidth="1"/>
    <col min="14" max="14" width="7.85546875" style="38" bestFit="1" customWidth="1"/>
    <col min="15" max="15" width="7.140625" style="100" customWidth="1"/>
    <col min="16" max="16" width="5.7109375" style="38" customWidth="1"/>
    <col min="17" max="17" width="11" style="52" bestFit="1" customWidth="1"/>
    <col min="18" max="18" width="10.5703125" style="52" bestFit="1" customWidth="1"/>
    <col min="19" max="19" width="1.5703125" style="38" customWidth="1"/>
    <col min="20" max="20" width="15.28515625" style="38" customWidth="1"/>
    <col min="21" max="21" width="9.140625" style="38" customWidth="1"/>
    <col min="22" max="16384" width="9.140625" style="38"/>
  </cols>
  <sheetData>
    <row r="1" spans="1:21" x14ac:dyDescent="0.25">
      <c r="A1" s="212" t="s">
        <v>0</v>
      </c>
      <c r="B1" s="213"/>
      <c r="C1" s="213"/>
      <c r="D1" s="213"/>
      <c r="E1" s="213"/>
      <c r="F1" s="213"/>
      <c r="G1" s="213"/>
      <c r="H1" s="213"/>
      <c r="I1" s="213"/>
      <c r="J1" s="213"/>
      <c r="K1" s="213"/>
      <c r="L1" s="213"/>
      <c r="M1" s="213"/>
      <c r="N1" s="213"/>
      <c r="O1" s="213"/>
      <c r="P1" s="213"/>
      <c r="Q1" s="213"/>
      <c r="R1" s="213"/>
      <c r="S1" s="213"/>
      <c r="T1" s="213"/>
      <c r="U1" s="214"/>
    </row>
    <row r="2" spans="1:21" x14ac:dyDescent="0.25">
      <c r="A2" s="215"/>
      <c r="B2" s="216"/>
      <c r="C2" s="216"/>
      <c r="D2" s="216"/>
      <c r="E2" s="216"/>
      <c r="F2" s="216"/>
      <c r="G2" s="216"/>
      <c r="H2" s="216"/>
      <c r="I2" s="216"/>
      <c r="J2" s="216"/>
      <c r="K2" s="216"/>
      <c r="L2" s="216"/>
      <c r="M2" s="216"/>
      <c r="N2" s="216"/>
      <c r="O2" s="216"/>
      <c r="P2" s="216"/>
      <c r="Q2" s="216"/>
      <c r="R2" s="216"/>
      <c r="S2" s="216"/>
      <c r="T2" s="216"/>
      <c r="U2" s="217"/>
    </row>
    <row r="3" spans="1:21" ht="15" customHeight="1" x14ac:dyDescent="0.25">
      <c r="A3" s="46"/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98"/>
      <c r="P3" s="46"/>
      <c r="Q3" s="46"/>
      <c r="R3" s="46"/>
      <c r="S3" s="46"/>
      <c r="T3" s="46"/>
      <c r="U3" s="46"/>
    </row>
    <row r="4" spans="1:21" ht="49.5" customHeight="1" x14ac:dyDescent="0.25">
      <c r="A4" s="206" t="s">
        <v>1</v>
      </c>
      <c r="B4" s="206"/>
      <c r="C4" s="206"/>
      <c r="D4" s="206"/>
      <c r="E4" s="206"/>
      <c r="F4" s="206"/>
      <c r="G4" s="206"/>
      <c r="H4" s="206"/>
      <c r="I4" s="206"/>
      <c r="J4" s="206"/>
      <c r="K4" s="206"/>
      <c r="L4" s="206"/>
      <c r="M4" s="206"/>
      <c r="N4" s="206"/>
      <c r="O4" s="206"/>
      <c r="P4" s="206"/>
      <c r="Q4" s="206"/>
      <c r="R4" s="206"/>
      <c r="S4" s="206"/>
      <c r="T4" s="206"/>
      <c r="U4" s="206"/>
    </row>
    <row r="5" spans="1:21" ht="15" x14ac:dyDescent="0.25">
      <c r="A5" s="65"/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99"/>
      <c r="P5" s="65"/>
      <c r="Q5" s="65"/>
      <c r="R5" s="65"/>
      <c r="S5" s="65"/>
      <c r="T5" s="65"/>
      <c r="U5" s="65"/>
    </row>
    <row r="6" spans="1:21" ht="18" x14ac:dyDescent="0.25">
      <c r="A6" s="65"/>
      <c r="B6" s="65"/>
      <c r="C6" s="65"/>
      <c r="D6" s="65"/>
      <c r="E6" s="207" t="s">
        <v>2</v>
      </c>
      <c r="F6" s="208"/>
      <c r="G6" s="208"/>
      <c r="H6" s="208"/>
      <c r="I6" s="208"/>
      <c r="J6" s="208"/>
      <c r="K6" s="208"/>
      <c r="L6" s="208"/>
      <c r="M6" s="208"/>
      <c r="N6" s="208"/>
      <c r="O6" s="208"/>
      <c r="P6" s="208"/>
      <c r="Q6" s="208"/>
      <c r="R6" s="208"/>
      <c r="S6" s="65"/>
      <c r="T6" s="65"/>
      <c r="U6" s="65"/>
    </row>
    <row r="7" spans="1:21" ht="15" x14ac:dyDescent="0.25">
      <c r="A7" s="65"/>
      <c r="B7" s="65"/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99"/>
      <c r="P7" s="65"/>
      <c r="Q7" s="65"/>
      <c r="R7" s="65"/>
      <c r="S7" s="65"/>
      <c r="T7" s="65"/>
      <c r="U7" s="65"/>
    </row>
    <row r="8" spans="1:21" ht="46.5" customHeight="1" x14ac:dyDescent="0.25">
      <c r="B8" s="47"/>
      <c r="C8" s="47"/>
      <c r="D8" s="47"/>
      <c r="E8" s="253" t="s">
        <v>3</v>
      </c>
      <c r="F8" s="254"/>
      <c r="G8" s="254"/>
      <c r="H8" s="254"/>
      <c r="I8" s="254"/>
      <c r="J8" s="254"/>
      <c r="K8" s="254"/>
      <c r="L8" s="254"/>
      <c r="M8" s="254"/>
      <c r="N8" s="254"/>
      <c r="O8" s="254"/>
      <c r="P8" s="254"/>
      <c r="Q8" s="254"/>
      <c r="R8" s="254"/>
      <c r="S8" s="47"/>
      <c r="T8" s="47"/>
      <c r="U8" s="47"/>
    </row>
    <row r="9" spans="1:21" ht="15" x14ac:dyDescent="0.25">
      <c r="B9" s="47"/>
      <c r="C9" s="47"/>
      <c r="D9" s="47"/>
      <c r="E9" s="66"/>
      <c r="F9" s="67"/>
      <c r="G9" s="67"/>
      <c r="H9" s="67"/>
      <c r="I9" s="67"/>
      <c r="J9" s="67"/>
      <c r="K9" s="67"/>
      <c r="L9" s="67"/>
      <c r="M9" s="67"/>
      <c r="N9" s="67"/>
      <c r="O9" s="66"/>
      <c r="P9" s="67"/>
      <c r="Q9" s="67"/>
      <c r="R9" s="67"/>
      <c r="S9" s="47"/>
      <c r="T9" s="47"/>
      <c r="U9" s="47"/>
    </row>
    <row r="10" spans="1:21" ht="118.5" customHeight="1" x14ac:dyDescent="0.25">
      <c r="B10" s="49"/>
      <c r="C10" s="49"/>
      <c r="D10" s="49"/>
      <c r="E10" s="256" t="s">
        <v>221</v>
      </c>
      <c r="F10" s="256"/>
      <c r="G10" s="256"/>
      <c r="H10" s="256"/>
      <c r="I10" s="256"/>
      <c r="J10" s="256"/>
      <c r="K10" s="256"/>
      <c r="L10" s="256"/>
      <c r="M10" s="256"/>
      <c r="N10" s="256"/>
      <c r="O10" s="256"/>
      <c r="P10" s="256"/>
      <c r="Q10" s="256"/>
      <c r="R10" s="256"/>
      <c r="S10" s="49"/>
      <c r="T10" s="49"/>
      <c r="U10" s="49"/>
    </row>
    <row r="11" spans="1:21" ht="32.25" hidden="1" customHeight="1" x14ac:dyDescent="0.25">
      <c r="B11" s="48"/>
      <c r="C11" s="48"/>
      <c r="D11" s="118" t="s">
        <v>4</v>
      </c>
      <c r="E11" s="255" t="s">
        <v>5</v>
      </c>
      <c r="F11" s="255"/>
      <c r="G11" s="255"/>
      <c r="H11" s="255"/>
      <c r="I11" s="255"/>
      <c r="J11" s="255"/>
      <c r="K11" s="255"/>
      <c r="L11" s="255"/>
      <c r="M11" s="255"/>
      <c r="N11" s="255"/>
      <c r="O11" s="255"/>
      <c r="P11" s="255"/>
      <c r="Q11" s="255"/>
      <c r="R11" s="255"/>
      <c r="S11" s="48"/>
      <c r="T11" s="48"/>
      <c r="U11" s="48"/>
    </row>
    <row r="12" spans="1:21" ht="15" x14ac:dyDescent="0.25">
      <c r="B12" s="48"/>
      <c r="C12" s="48"/>
      <c r="D12" s="119"/>
      <c r="E12" s="85"/>
      <c r="F12" s="85"/>
      <c r="G12" s="85"/>
      <c r="H12" s="85"/>
      <c r="I12" s="85"/>
      <c r="J12" s="85"/>
      <c r="K12" s="85"/>
      <c r="L12" s="85"/>
      <c r="M12" s="85"/>
      <c r="N12" s="85"/>
      <c r="O12" s="85"/>
      <c r="P12" s="85"/>
      <c r="Q12" s="85"/>
      <c r="R12" s="85"/>
      <c r="S12" s="48"/>
      <c r="T12" s="48"/>
      <c r="U12" s="48"/>
    </row>
    <row r="13" spans="1:21" ht="132.75" hidden="1" customHeight="1" x14ac:dyDescent="0.25">
      <c r="B13" s="49"/>
      <c r="C13" s="49"/>
      <c r="D13" s="118" t="s">
        <v>6</v>
      </c>
      <c r="E13" s="257" t="s">
        <v>7</v>
      </c>
      <c r="F13" s="258"/>
      <c r="G13" s="258"/>
      <c r="H13" s="258"/>
      <c r="I13" s="258"/>
      <c r="J13" s="258"/>
      <c r="K13" s="258"/>
      <c r="L13" s="258"/>
      <c r="M13" s="258"/>
      <c r="N13" s="258"/>
      <c r="O13" s="258"/>
      <c r="P13" s="258"/>
      <c r="Q13" s="258"/>
      <c r="R13" s="258"/>
      <c r="S13" s="49"/>
      <c r="T13" s="49"/>
      <c r="U13" s="49"/>
    </row>
    <row r="14" spans="1:21" s="50" customFormat="1" ht="30" customHeight="1" x14ac:dyDescent="0.25">
      <c r="I14" s="154" t="s">
        <v>8</v>
      </c>
      <c r="J14" s="154" t="s">
        <v>9</v>
      </c>
      <c r="K14" s="154" t="s">
        <v>9</v>
      </c>
      <c r="Q14" s="51"/>
      <c r="R14" s="51"/>
    </row>
    <row r="15" spans="1:21" s="50" customFormat="1" ht="44.25" hidden="1" x14ac:dyDescent="0.25">
      <c r="I15" s="153"/>
      <c r="J15" s="153" t="s">
        <v>10</v>
      </c>
      <c r="K15" s="153" t="s">
        <v>11</v>
      </c>
      <c r="Q15" s="51"/>
      <c r="R15" s="51"/>
    </row>
    <row r="16" spans="1:21" ht="24" customHeight="1" x14ac:dyDescent="0.25">
      <c r="E16" s="262" t="s">
        <v>12</v>
      </c>
      <c r="F16" s="112"/>
      <c r="G16" s="56"/>
      <c r="H16" s="53"/>
      <c r="I16" s="117">
        <v>3</v>
      </c>
      <c r="J16" s="117">
        <f>SUMIF('Points Lookup'!$A:$A,I16,'Points Lookup'!$B:$B)</f>
        <v>16795</v>
      </c>
      <c r="K16" s="117">
        <f>IF((SUMIF('Points Lookup'!$D:$D,I16,'Points Lookup'!$E:$E))=0,"",SUMIF('Points Lookup'!$D:$D,I16,'Points Lookup'!$E:$E))</f>
        <v>17338</v>
      </c>
      <c r="L16" s="123"/>
      <c r="M16" s="53"/>
      <c r="N16" s="218" t="s">
        <v>13</v>
      </c>
      <c r="O16" s="242" t="s">
        <v>14</v>
      </c>
      <c r="P16" s="63"/>
      <c r="Q16" s="245" t="s">
        <v>15</v>
      </c>
    </row>
    <row r="17" spans="5:21" ht="24" customHeight="1" x14ac:dyDescent="0.25">
      <c r="E17" s="263"/>
      <c r="F17" s="113"/>
      <c r="I17" s="117">
        <v>4</v>
      </c>
      <c r="J17" s="117">
        <f>SUMIF('Points Lookup'!$A:$A,I17,'Points Lookup'!$B:$B)</f>
        <v>17046</v>
      </c>
      <c r="K17" s="117">
        <f>IF((SUMIF('Points Lookup'!$D:$D,I17,'Points Lookup'!$E:$E))=0,"",SUMIF('Points Lookup'!$D:$D,I17,'Points Lookup'!$E:$E))</f>
        <v>17596</v>
      </c>
      <c r="L17" s="124"/>
      <c r="M17" s="54"/>
      <c r="N17" s="219"/>
      <c r="O17" s="243"/>
      <c r="P17" s="63"/>
      <c r="Q17" s="245"/>
      <c r="R17" s="245" t="s">
        <v>16</v>
      </c>
    </row>
    <row r="18" spans="5:21" ht="24" customHeight="1" x14ac:dyDescent="0.25">
      <c r="E18" s="263"/>
      <c r="F18" s="113"/>
      <c r="I18" s="117">
        <v>5</v>
      </c>
      <c r="J18" s="117">
        <f>SUMIF('Points Lookup'!$A:$A,I18,'Points Lookup'!$B:$B)</f>
        <v>17361</v>
      </c>
      <c r="K18" s="117">
        <f>IF((SUMIF('Points Lookup'!$D:$D,I18,'Points Lookup'!$E:$E))=0,"",SUMIF('Points Lookup'!$D:$D,I18,'Points Lookup'!$E:$E))</f>
        <v>17901</v>
      </c>
      <c r="L18" s="124"/>
      <c r="M18" s="54"/>
      <c r="N18" s="219"/>
      <c r="O18" s="243"/>
      <c r="P18" s="63"/>
      <c r="Q18" s="245" t="s">
        <v>17</v>
      </c>
      <c r="R18" s="245"/>
    </row>
    <row r="19" spans="5:21" ht="30" x14ac:dyDescent="0.25">
      <c r="E19" s="264"/>
      <c r="F19" s="114"/>
      <c r="G19" s="58"/>
      <c r="H19" s="55"/>
      <c r="I19" s="117">
        <v>6</v>
      </c>
      <c r="J19" s="117">
        <f>SUMIF('Points Lookup'!$A:$A,I19,'Points Lookup'!$B:$B)</f>
        <v>17682</v>
      </c>
      <c r="K19" s="117">
        <f>IF((SUMIF('Points Lookup'!$D:$D,I19,'Points Lookup'!$E:$E))=0,"",SUMIF('Points Lookup'!$D:$D,I19,'Points Lookup'!$E:$E))</f>
        <v>18212</v>
      </c>
      <c r="L19" s="115" t="s">
        <v>18</v>
      </c>
      <c r="M19" s="54"/>
      <c r="N19" s="219"/>
      <c r="O19" s="243"/>
      <c r="P19" s="63"/>
      <c r="Q19" s="245"/>
      <c r="R19" s="245" t="s">
        <v>19</v>
      </c>
    </row>
    <row r="20" spans="5:21" ht="24" customHeight="1" x14ac:dyDescent="0.25">
      <c r="I20" s="97">
        <v>7</v>
      </c>
      <c r="J20" s="97">
        <f>SUMIF('Points Lookup'!$A:$A,I20,'Points Lookup'!$B:$B)</f>
        <v>18009</v>
      </c>
      <c r="K20" s="97">
        <f>IF((SUMIF('Points Lookup'!$D:$D,I20,'Points Lookup'!$E:$E))=0,"",SUMIF('Points Lookup'!$D:$D,I20,'Points Lookup'!$E:$E))</f>
        <v>18529</v>
      </c>
      <c r="M20" s="54"/>
      <c r="N20" s="219"/>
      <c r="O20" s="243"/>
      <c r="P20" s="63"/>
      <c r="Q20" s="245" t="s">
        <v>20</v>
      </c>
      <c r="R20" s="245"/>
    </row>
    <row r="21" spans="5:21" ht="24" customHeight="1" x14ac:dyDescent="0.25">
      <c r="I21" s="97">
        <v>8</v>
      </c>
      <c r="J21" s="97">
        <f>SUMIF('Points Lookup'!$A:$A,I21,'Points Lookup'!$B:$B)</f>
        <v>18342</v>
      </c>
      <c r="K21" s="97">
        <f>IF((SUMIF('Points Lookup'!$D:$D,I21,'Points Lookup'!$E:$E))=0,"",SUMIF('Points Lookup'!$D:$D,I21,'Points Lookup'!$E:$E))</f>
        <v>18852</v>
      </c>
      <c r="M21" s="54"/>
      <c r="N21" s="219"/>
      <c r="O21" s="243"/>
      <c r="P21" s="63"/>
      <c r="Q21" s="246"/>
    </row>
    <row r="22" spans="5:21" ht="24" customHeight="1" x14ac:dyDescent="0.25">
      <c r="E22" s="224" t="s">
        <v>21</v>
      </c>
      <c r="F22" s="228" t="s">
        <v>22</v>
      </c>
      <c r="G22" s="112"/>
      <c r="H22" s="53"/>
      <c r="I22" s="97">
        <v>9</v>
      </c>
      <c r="J22" s="97">
        <f>SUMIF('Points Lookup'!$A:$A,I22,'Points Lookup'!$B:$B)</f>
        <v>18709</v>
      </c>
      <c r="K22" s="97">
        <f>IF((SUMIF('Points Lookup'!$D:$D,I22,'Points Lookup'!$E:$E))=0,"",SUMIF('Points Lookup'!$D:$D,I22,'Points Lookup'!$E:$E))</f>
        <v>19209</v>
      </c>
      <c r="L22" s="136"/>
      <c r="M22" s="137"/>
      <c r="N22" s="219"/>
      <c r="O22" s="243"/>
      <c r="P22" s="142"/>
      <c r="Q22" s="143"/>
      <c r="R22" s="144"/>
      <c r="S22" s="106"/>
      <c r="T22" s="105"/>
      <c r="U22" s="236" t="s">
        <v>23</v>
      </c>
    </row>
    <row r="23" spans="5:21" ht="24" customHeight="1" x14ac:dyDescent="0.25">
      <c r="E23" s="224"/>
      <c r="F23" s="228"/>
      <c r="G23" s="113"/>
      <c r="H23" s="54"/>
      <c r="I23" s="97">
        <v>10</v>
      </c>
      <c r="J23" s="97">
        <f>SUMIF('Points Lookup'!$A:$A,I23,'Points Lookup'!$B:$B)</f>
        <v>19133</v>
      </c>
      <c r="K23" s="97">
        <f>IF((SUMIF('Points Lookup'!$D:$D,I23,'Points Lookup'!$E:$E))=0,"",SUMIF('Points Lookup'!$D:$D,I23,'Points Lookup'!$E:$E))</f>
        <v>19623</v>
      </c>
      <c r="M23" s="54"/>
      <c r="N23" s="219"/>
      <c r="O23" s="243"/>
      <c r="P23" s="63"/>
      <c r="Q23" s="245" t="s">
        <v>24</v>
      </c>
      <c r="S23" s="101"/>
      <c r="T23" s="102"/>
      <c r="U23" s="237"/>
    </row>
    <row r="24" spans="5:21" ht="24" customHeight="1" x14ac:dyDescent="0.25">
      <c r="E24" s="224"/>
      <c r="F24" s="228"/>
      <c r="G24" s="113"/>
      <c r="H24" s="54"/>
      <c r="I24" s="97">
        <v>11</v>
      </c>
      <c r="J24" s="97">
        <f>SUMIF('Points Lookup'!$A:$A,I24,'Points Lookup'!$B:$B)</f>
        <v>19612</v>
      </c>
      <c r="K24" s="97">
        <f>IF((SUMIF('Points Lookup'!$D:$D,I24,'Points Lookup'!$E:$E))=0,"",SUMIF('Points Lookup'!$D:$D,I24,'Points Lookup'!$E:$E))</f>
        <v>20092</v>
      </c>
      <c r="M24" s="54"/>
      <c r="N24" s="219"/>
      <c r="O24" s="243"/>
      <c r="P24" s="63"/>
      <c r="Q24" s="245"/>
      <c r="S24" s="101"/>
      <c r="T24" s="102"/>
      <c r="U24" s="237"/>
    </row>
    <row r="25" spans="5:21" ht="24" customHeight="1" x14ac:dyDescent="0.25">
      <c r="E25" s="224"/>
      <c r="F25" s="228"/>
      <c r="G25" s="113"/>
      <c r="H25" s="54"/>
      <c r="I25" s="97">
        <v>12</v>
      </c>
      <c r="J25" s="97">
        <f>SUMIF('Points Lookup'!$A:$A,I25,'Points Lookup'!$B:$B)</f>
        <v>20130</v>
      </c>
      <c r="K25" s="97">
        <f>IF((SUMIF('Points Lookup'!$D:$D,I25,'Points Lookup'!$E:$E))=0,"",SUMIF('Points Lookup'!$D:$D,I25,'Points Lookup'!$E:$E))</f>
        <v>20600</v>
      </c>
      <c r="L25" s="58"/>
      <c r="M25" s="55"/>
      <c r="N25" s="220"/>
      <c r="O25" s="244"/>
      <c r="P25" s="63"/>
      <c r="Q25" s="59"/>
      <c r="S25" s="234" t="s">
        <v>25</v>
      </c>
      <c r="T25" s="235"/>
      <c r="U25" s="237"/>
    </row>
    <row r="26" spans="5:21" ht="24" customHeight="1" x14ac:dyDescent="0.25">
      <c r="E26" s="224"/>
      <c r="F26" s="228"/>
      <c r="G26" s="113"/>
      <c r="H26" s="54"/>
      <c r="I26" s="97">
        <v>13</v>
      </c>
      <c r="J26" s="97">
        <f>SUMIF('Points Lookup'!$A:$A,I26,'Points Lookup'!$B:$B)</f>
        <v>20675</v>
      </c>
      <c r="K26" s="97">
        <f>IF((SUMIF('Points Lookup'!$D:$D,I26,'Points Lookup'!$E:$E))=0,"",SUMIF('Points Lookup'!$D:$D,I26,'Points Lookup'!$E:$E))</f>
        <v>21135</v>
      </c>
      <c r="O26" s="38"/>
      <c r="Q26" s="59"/>
      <c r="S26" s="101"/>
      <c r="T26" s="102"/>
      <c r="U26" s="237"/>
    </row>
    <row r="27" spans="5:21" ht="24" customHeight="1" x14ac:dyDescent="0.25">
      <c r="E27" s="224"/>
      <c r="F27" s="228"/>
      <c r="G27" s="113"/>
      <c r="H27" s="54"/>
      <c r="I27" s="97">
        <v>14</v>
      </c>
      <c r="J27" s="97">
        <f>SUMIF('Points Lookup'!$A:$A,I27,'Points Lookup'!$B:$B)</f>
        <v>21236</v>
      </c>
      <c r="K27" s="97">
        <f>IF((SUMIF('Points Lookup'!$D:$D,I27,'Points Lookup'!$E:$E))=0,"",SUMIF('Points Lookup'!$D:$D,I27,'Points Lookup'!$E:$E))</f>
        <v>21686</v>
      </c>
      <c r="O27" s="38"/>
      <c r="Q27" s="59"/>
      <c r="S27" s="101"/>
      <c r="T27" s="102"/>
      <c r="U27" s="237"/>
    </row>
    <row r="28" spans="5:21" ht="30" x14ac:dyDescent="0.25">
      <c r="E28" s="224"/>
      <c r="F28" s="228"/>
      <c r="G28" s="113"/>
      <c r="H28" s="96" t="s">
        <v>26</v>
      </c>
      <c r="I28" s="97">
        <v>15</v>
      </c>
      <c r="J28" s="97">
        <f>SUMIF('Points Lookup'!$A:$A,I28,'Points Lookup'!$B:$B)</f>
        <v>21814</v>
      </c>
      <c r="K28" s="97">
        <f>IF((SUMIF('Points Lookup'!$D:$D,I28,'Points Lookup'!$E:$E))=0,"",SUMIF('Points Lookup'!$D:$D,I28,'Points Lookup'!$E:$E))</f>
        <v>22254</v>
      </c>
      <c r="O28" s="38"/>
      <c r="Q28" s="245" t="s">
        <v>27</v>
      </c>
      <c r="S28" s="103"/>
      <c r="T28" s="104"/>
      <c r="U28" s="238"/>
    </row>
    <row r="29" spans="5:21" ht="24" customHeight="1" x14ac:dyDescent="0.25">
      <c r="E29" s="224"/>
      <c r="F29" s="228"/>
      <c r="G29" s="113"/>
      <c r="H29" s="54"/>
      <c r="I29" s="97">
        <v>16</v>
      </c>
      <c r="J29" s="97">
        <f>SUMIF('Points Lookup'!$A:$A,I29,'Points Lookup'!$B:$B)</f>
        <v>22417</v>
      </c>
      <c r="K29" s="97">
        <f>IF((SUMIF('Points Lookup'!$D:$D,I29,'Points Lookup'!$E:$E))=0,"",SUMIF('Points Lookup'!$D:$D,I29,'Points Lookup'!$E:$E))</f>
        <v>22847</v>
      </c>
      <c r="L29" s="135"/>
      <c r="M29" s="136"/>
      <c r="N29" s="136"/>
      <c r="O29" s="136"/>
      <c r="P29" s="137"/>
      <c r="Q29" s="245"/>
      <c r="R29" s="134"/>
      <c r="S29" s="106"/>
      <c r="T29" s="105"/>
      <c r="U29" s="236" t="s">
        <v>28</v>
      </c>
    </row>
    <row r="30" spans="5:21" ht="24" customHeight="1" x14ac:dyDescent="0.25">
      <c r="E30" s="224"/>
      <c r="F30" s="228"/>
      <c r="G30" s="113"/>
      <c r="H30" s="54"/>
      <c r="I30" s="97">
        <v>17</v>
      </c>
      <c r="J30" s="97">
        <f>SUMIF('Points Lookup'!$A:$A,I30,'Points Lookup'!$B:$B)</f>
        <v>23067</v>
      </c>
      <c r="K30" s="97">
        <f>IF((SUMIF('Points Lookup'!$D:$D,I30,'Points Lookup'!$E:$E))=0,"",SUMIF('Points Lookup'!$D:$D,I30,'Points Lookup'!$E:$E))</f>
        <v>23487</v>
      </c>
      <c r="O30" s="38"/>
      <c r="Q30" s="59"/>
      <c r="S30" s="101"/>
      <c r="T30" s="102"/>
      <c r="U30" s="237"/>
    </row>
    <row r="31" spans="5:21" ht="24" customHeight="1" x14ac:dyDescent="0.25">
      <c r="E31" s="224"/>
      <c r="F31" s="228"/>
      <c r="G31" s="113"/>
      <c r="H31" s="54"/>
      <c r="I31" s="97">
        <v>18</v>
      </c>
      <c r="J31" s="97">
        <f>SUMIF('Points Lookup'!$A:$A,I31,'Points Lookup'!$B:$B)</f>
        <v>23754</v>
      </c>
      <c r="K31" s="97">
        <f>IF((SUMIF('Points Lookup'!$D:$D,I31,'Points Lookup'!$E:$E))=0,"",SUMIF('Points Lookup'!$D:$D,I31,'Points Lookup'!$E:$E))</f>
        <v>24174</v>
      </c>
      <c r="L31" s="56"/>
      <c r="M31" s="53"/>
      <c r="N31" s="218" t="s">
        <v>29</v>
      </c>
      <c r="O31" s="221" t="s">
        <v>30</v>
      </c>
      <c r="P31" s="64"/>
      <c r="Q31" s="59"/>
      <c r="S31" s="101"/>
      <c r="T31" s="102"/>
      <c r="U31" s="237"/>
    </row>
    <row r="32" spans="5:21" ht="24" customHeight="1" x14ac:dyDescent="0.25">
      <c r="E32" s="224"/>
      <c r="F32" s="228"/>
      <c r="G32" s="113"/>
      <c r="H32" s="54"/>
      <c r="I32" s="97">
        <v>19</v>
      </c>
      <c r="J32" s="97">
        <f>SUMIF('Points Lookup'!$A:$A,I32,'Points Lookup'!$B:$B)</f>
        <v>24461</v>
      </c>
      <c r="K32" s="97">
        <f>IF((SUMIF('Points Lookup'!$D:$D,I32,'Points Lookup'!$E:$E))=0,"",SUMIF('Points Lookup'!$D:$D,I32,'Points Lookup'!$E:$E))</f>
        <v>24871</v>
      </c>
      <c r="M32" s="54"/>
      <c r="N32" s="219"/>
      <c r="O32" s="222"/>
      <c r="P32" s="64"/>
      <c r="Q32" s="59"/>
      <c r="S32" s="234" t="s">
        <v>25</v>
      </c>
      <c r="T32" s="235"/>
      <c r="U32" s="237"/>
    </row>
    <row r="33" spans="2:21" ht="24" customHeight="1" x14ac:dyDescent="0.25">
      <c r="E33" s="224"/>
      <c r="F33" s="228"/>
      <c r="G33" s="113"/>
      <c r="H33" s="54"/>
      <c r="I33" s="97">
        <v>20</v>
      </c>
      <c r="J33" s="97">
        <f>SUMIF('Points Lookup'!$A:$A,I33,'Points Lookup'!$B:$B)</f>
        <v>25217</v>
      </c>
      <c r="K33" s="97">
        <f>IF((SUMIF('Points Lookup'!$D:$D,I33,'Points Lookup'!$E:$E))=0,"",SUMIF('Points Lookup'!$D:$D,I33,'Points Lookup'!$E:$E))</f>
        <v>25627</v>
      </c>
      <c r="M33" s="54"/>
      <c r="N33" s="219"/>
      <c r="O33" s="222"/>
      <c r="P33" s="64"/>
      <c r="Q33" s="59"/>
      <c r="S33" s="101"/>
      <c r="T33" s="102"/>
      <c r="U33" s="237"/>
    </row>
    <row r="34" spans="2:21" ht="24" customHeight="1" x14ac:dyDescent="0.25">
      <c r="E34" s="224"/>
      <c r="F34" s="228"/>
      <c r="G34" s="114"/>
      <c r="H34" s="55"/>
      <c r="I34" s="97">
        <v>21</v>
      </c>
      <c r="J34" s="97">
        <f>SUMIF('Points Lookup'!$A:$A,I34,'Points Lookup'!$B:$B)</f>
        <v>25941</v>
      </c>
      <c r="K34" s="97">
        <f>IF((SUMIF('Points Lookup'!$D:$D,I34,'Points Lookup'!$E:$E))=0,"",SUMIF('Points Lookup'!$D:$D,I34,'Points Lookup'!$E:$E))</f>
        <v>26341</v>
      </c>
      <c r="M34" s="54"/>
      <c r="N34" s="219"/>
      <c r="O34" s="222"/>
      <c r="P34" s="64"/>
      <c r="Q34" s="245" t="s">
        <v>31</v>
      </c>
      <c r="S34" s="101"/>
      <c r="T34" s="102"/>
      <c r="U34" s="237"/>
    </row>
    <row r="35" spans="2:21" ht="24" customHeight="1" x14ac:dyDescent="0.25">
      <c r="I35" s="97">
        <v>22</v>
      </c>
      <c r="J35" s="97">
        <f>SUMIF('Points Lookup'!$A:$A,I35,'Points Lookup'!$B:$B)</f>
        <v>26715</v>
      </c>
      <c r="K35" s="97">
        <f>IF((SUMIF('Points Lookup'!$D:$D,I35,'Points Lookup'!$E:$E))=0,"",SUMIF('Points Lookup'!$D:$D,I35,'Points Lookup'!$E:$E))</f>
        <v>27116</v>
      </c>
      <c r="L35" s="141"/>
      <c r="M35" s="140"/>
      <c r="N35" s="219"/>
      <c r="O35" s="222"/>
      <c r="P35" s="139"/>
      <c r="Q35" s="245"/>
      <c r="R35" s="138"/>
      <c r="S35" s="103"/>
      <c r="T35" s="104"/>
      <c r="U35" s="238"/>
    </row>
    <row r="36" spans="2:21" ht="24" customHeight="1" x14ac:dyDescent="0.25">
      <c r="B36" s="259" t="s">
        <v>32</v>
      </c>
      <c r="C36" s="107"/>
      <c r="D36" s="145"/>
      <c r="E36" s="146"/>
      <c r="F36" s="239" t="s">
        <v>33</v>
      </c>
      <c r="G36" s="225" t="s">
        <v>34</v>
      </c>
      <c r="H36" s="56"/>
      <c r="I36" s="97">
        <v>23</v>
      </c>
      <c r="J36" s="97">
        <f>SUMIF('Points Lookup'!$A:$A,I36,'Points Lookup'!$B:$B)</f>
        <v>27511</v>
      </c>
      <c r="K36" s="97">
        <f>IF((SUMIF('Points Lookup'!$D:$D,I36,'Points Lookup'!$E:$E))=0,"",SUMIF('Points Lookup'!$D:$D,I36,'Points Lookup'!$E:$E))</f>
        <v>27924</v>
      </c>
      <c r="L36" s="125"/>
      <c r="M36" s="54"/>
      <c r="N36" s="219"/>
      <c r="O36" s="222"/>
      <c r="P36" s="64"/>
      <c r="Q36" s="59"/>
    </row>
    <row r="37" spans="2:21" ht="30" x14ac:dyDescent="0.25">
      <c r="B37" s="260"/>
      <c r="C37" s="108"/>
      <c r="F37" s="240"/>
      <c r="G37" s="226"/>
      <c r="I37" s="97">
        <v>24</v>
      </c>
      <c r="J37" s="97">
        <f>SUMIF('Points Lookup'!$A:$A,I37,'Points Lookup'!$B:$B)</f>
        <v>28331</v>
      </c>
      <c r="K37" s="97">
        <f>IF((SUMIF('Points Lookup'!$D:$D,I37,'Points Lookup'!$E:$E))=0,"",SUMIF('Points Lookup'!$D:$D,I37,'Points Lookup'!$E:$E))</f>
        <v>28756</v>
      </c>
      <c r="L37" s="115" t="s">
        <v>35</v>
      </c>
      <c r="M37" s="54"/>
      <c r="N37" s="219"/>
      <c r="O37" s="222"/>
      <c r="P37" s="64"/>
      <c r="Q37" s="245" t="s">
        <v>36</v>
      </c>
    </row>
    <row r="38" spans="2:21" ht="24" customHeight="1" x14ac:dyDescent="0.25">
      <c r="B38" s="260"/>
      <c r="C38" s="109" t="s">
        <v>37</v>
      </c>
      <c r="F38" s="240"/>
      <c r="G38" s="226"/>
      <c r="H38" s="57" t="s">
        <v>37</v>
      </c>
      <c r="I38" s="97">
        <v>25</v>
      </c>
      <c r="J38" s="97">
        <f>SUMIF('Points Lookup'!$A:$A,I38,'Points Lookup'!$B:$B)</f>
        <v>29176</v>
      </c>
      <c r="K38" s="97">
        <f>IF((SUMIF('Points Lookup'!$D:$D,I38,'Points Lookup'!$E:$E))=0,"",SUMIF('Points Lookup'!$D:$D,I38,'Points Lookup'!$E:$E))</f>
        <v>29614</v>
      </c>
      <c r="M38" s="54"/>
      <c r="N38" s="219"/>
      <c r="O38" s="222"/>
      <c r="P38" s="64"/>
      <c r="Q38" s="245"/>
    </row>
    <row r="39" spans="2:21" ht="30" x14ac:dyDescent="0.25">
      <c r="B39" s="260"/>
      <c r="C39" s="111" t="s">
        <v>25</v>
      </c>
      <c r="F39" s="241"/>
      <c r="G39" s="227"/>
      <c r="H39" s="58"/>
      <c r="I39" s="97">
        <v>26</v>
      </c>
      <c r="J39" s="97">
        <f>SUMIF('Points Lookup'!$A:$A,I39,'Points Lookup'!$B:$B)</f>
        <v>30046</v>
      </c>
      <c r="K39" s="97">
        <f>IF((SUMIF('Points Lookup'!$D:$D,I39,'Points Lookup'!$E:$E))=0,"",SUMIF('Points Lookup'!$D:$D,I39,'Points Lookup'!$E:$E))</f>
        <v>30497</v>
      </c>
      <c r="L39" s="125"/>
      <c r="M39" s="54"/>
      <c r="N39" s="219"/>
      <c r="O39" s="222"/>
      <c r="P39" s="64"/>
      <c r="Q39" s="59"/>
    </row>
    <row r="40" spans="2:21" ht="24" customHeight="1" x14ac:dyDescent="0.25">
      <c r="B40" s="260"/>
      <c r="C40" s="108"/>
      <c r="E40" s="247" t="s">
        <v>38</v>
      </c>
      <c r="F40" s="229" t="s">
        <v>39</v>
      </c>
      <c r="G40" s="250" t="s">
        <v>40</v>
      </c>
      <c r="H40" s="53"/>
      <c r="I40" s="97">
        <v>27</v>
      </c>
      <c r="J40" s="97">
        <f>SUMIF('Points Lookup'!$A:$A,I40,'Points Lookup'!$B:$B)</f>
        <v>30942</v>
      </c>
      <c r="K40" s="97">
        <f>IF((SUMIF('Points Lookup'!$D:$D,I40,'Points Lookup'!$E:$E))=0,"",SUMIF('Points Lookup'!$D:$D,I40,'Points Lookup'!$E:$E))</f>
        <v>31406</v>
      </c>
      <c r="M40" s="54"/>
      <c r="N40" s="219"/>
      <c r="O40" s="222"/>
      <c r="P40" s="64"/>
      <c r="Q40" s="59"/>
    </row>
    <row r="41" spans="2:21" ht="24" customHeight="1" x14ac:dyDescent="0.25">
      <c r="B41" s="260"/>
      <c r="C41" s="108"/>
      <c r="E41" s="248"/>
      <c r="F41" s="229"/>
      <c r="G41" s="251"/>
      <c r="H41" s="54"/>
      <c r="I41" s="97">
        <v>28</v>
      </c>
      <c r="J41" s="97">
        <f>SUMIF('Points Lookup'!$A:$A,I41,'Points Lookup'!$B:$B)</f>
        <v>31866</v>
      </c>
      <c r="K41" s="97">
        <f>IF((SUMIF('Points Lookup'!$D:$D,I41,'Points Lookup'!$E:$E))=0,"",SUMIF('Points Lookup'!$D:$D,I41,'Points Lookup'!$E:$E))</f>
        <v>32344</v>
      </c>
      <c r="M41" s="54"/>
      <c r="N41" s="219"/>
      <c r="O41" s="222"/>
      <c r="P41" s="64"/>
      <c r="Q41" s="59"/>
    </row>
    <row r="42" spans="2:21" ht="24" customHeight="1" x14ac:dyDescent="0.25">
      <c r="B42" s="260"/>
      <c r="C42" s="108"/>
      <c r="E42" s="248"/>
      <c r="F42" s="229"/>
      <c r="G42" s="251"/>
      <c r="H42" s="54"/>
      <c r="I42" s="97">
        <v>29</v>
      </c>
      <c r="J42" s="97">
        <f>SUMIF('Points Lookup'!$A:$A,I42,'Points Lookup'!$B:$B)</f>
        <v>32817</v>
      </c>
      <c r="K42" s="97">
        <f>IF((SUMIF('Points Lookup'!$D:$D,I42,'Points Lookup'!$E:$E))=0,"",SUMIF('Points Lookup'!$D:$D,I42,'Points Lookup'!$E:$E))</f>
        <v>33309</v>
      </c>
      <c r="M42" s="54"/>
      <c r="N42" s="219"/>
      <c r="O42" s="222"/>
      <c r="P42" s="64"/>
      <c r="Q42" s="59"/>
    </row>
    <row r="43" spans="2:21" ht="24" customHeight="1" x14ac:dyDescent="0.25">
      <c r="B43" s="261"/>
      <c r="C43" s="110"/>
      <c r="D43" s="147"/>
      <c r="E43" s="248"/>
      <c r="F43" s="229"/>
      <c r="G43" s="251"/>
      <c r="H43" s="148"/>
      <c r="I43" s="97">
        <v>30</v>
      </c>
      <c r="J43" s="97">
        <f>SUMIF('Points Lookup'!$A:$A,I43,'Points Lookup'!$B:$B)</f>
        <v>33797</v>
      </c>
      <c r="K43" s="97">
        <f>IF((SUMIF('Points Lookup'!$D:$D,I43,'Points Lookup'!$E:$E))=0,"",SUMIF('Points Lookup'!$D:$D,I43,'Points Lookup'!$E:$E))</f>
        <v>34304</v>
      </c>
      <c r="L43" s="58"/>
      <c r="M43" s="55"/>
      <c r="N43" s="220"/>
      <c r="O43" s="223"/>
      <c r="P43" s="64"/>
      <c r="Q43" s="59"/>
    </row>
    <row r="44" spans="2:21" ht="24" customHeight="1" x14ac:dyDescent="0.25">
      <c r="B44" s="231"/>
      <c r="C44" s="60"/>
      <c r="E44" s="248"/>
      <c r="F44" s="229"/>
      <c r="G44" s="251"/>
      <c r="H44" s="54"/>
      <c r="I44" s="97">
        <v>31</v>
      </c>
      <c r="J44" s="97">
        <f>SUMIF('Points Lookup'!$A:$A,I44,'Points Lookup'!$B:$B)</f>
        <v>34804</v>
      </c>
      <c r="K44" s="97">
        <f>IF((SUMIF('Points Lookup'!$D:$D,I44,'Points Lookup'!$E:$E))=0,"",SUMIF('Points Lookup'!$D:$D,I44,'Points Lookup'!$E:$E))</f>
        <v>35326</v>
      </c>
      <c r="Q44" s="59"/>
    </row>
    <row r="45" spans="2:21" ht="24" customHeight="1" x14ac:dyDescent="0.25">
      <c r="B45" s="232"/>
      <c r="C45" s="61"/>
      <c r="E45" s="248"/>
      <c r="F45" s="229"/>
      <c r="G45" s="251"/>
      <c r="H45" s="54"/>
      <c r="I45" s="97">
        <v>32</v>
      </c>
      <c r="J45" s="97">
        <f>SUMIF('Points Lookup'!$A:$A,I45,'Points Lookup'!$B:$B)</f>
        <v>35845</v>
      </c>
      <c r="K45" s="97">
        <f>IF((SUMIF('Points Lookup'!$D:$D,I45,'Points Lookup'!$E:$E))=0,"",SUMIF('Points Lookup'!$D:$D,I45,'Points Lookup'!$E:$E))</f>
        <v>36382</v>
      </c>
      <c r="Q45" s="59"/>
    </row>
    <row r="46" spans="2:21" ht="24" customHeight="1" x14ac:dyDescent="0.25">
      <c r="B46" s="232"/>
      <c r="C46" s="61"/>
      <c r="E46" s="248"/>
      <c r="F46" s="229"/>
      <c r="G46" s="251"/>
      <c r="H46" s="54"/>
      <c r="I46" s="97">
        <v>33</v>
      </c>
      <c r="J46" s="97">
        <f>SUMIF('Points Lookup'!$A:$A,I46,'Points Lookup'!$B:$B)</f>
        <v>36914</v>
      </c>
      <c r="K46" s="97">
        <f>IF((SUMIF('Points Lookup'!$D:$D,I46,'Points Lookup'!$E:$E))=0,"",SUMIF('Points Lookup'!$D:$D,I46,'Points Lookup'!$E:$E))</f>
        <v>37467</v>
      </c>
      <c r="M46" s="209" t="s">
        <v>41</v>
      </c>
      <c r="Q46" s="59"/>
    </row>
    <row r="47" spans="2:21" ht="24" customHeight="1" x14ac:dyDescent="0.25">
      <c r="B47" s="232"/>
      <c r="C47" s="61"/>
      <c r="E47" s="248"/>
      <c r="F47" s="229"/>
      <c r="G47" s="251"/>
      <c r="H47" s="54"/>
      <c r="I47" s="97">
        <v>34</v>
      </c>
      <c r="J47" s="97">
        <f>SUMIF('Points Lookup'!$A:$A,I47,'Points Lookup'!$B:$B)</f>
        <v>38017</v>
      </c>
      <c r="K47" s="97">
        <f>IF((SUMIF('Points Lookup'!$D:$D,I47,'Points Lookup'!$E:$E))=0,"",SUMIF('Points Lookup'!$D:$D,I47,'Points Lookup'!$E:$E))</f>
        <v>38587</v>
      </c>
      <c r="M47" s="210"/>
      <c r="Q47" s="59"/>
    </row>
    <row r="48" spans="2:21" ht="24" customHeight="1" x14ac:dyDescent="0.25">
      <c r="B48" s="232"/>
      <c r="C48" s="61"/>
      <c r="E48" s="248"/>
      <c r="F48" s="229"/>
      <c r="G48" s="251"/>
      <c r="H48" s="54"/>
      <c r="I48" s="97">
        <v>35</v>
      </c>
      <c r="J48" s="97">
        <f>SUMIF('Points Lookup'!$A:$A,I48,'Points Lookup'!$B:$B)</f>
        <v>39152</v>
      </c>
      <c r="K48" s="97">
        <f>IF((SUMIF('Points Lookup'!$D:$D,I48,'Points Lookup'!$E:$E))=0,"",SUMIF('Points Lookup'!$D:$D,I48,'Points Lookup'!$E:$E))</f>
        <v>39739</v>
      </c>
      <c r="M48" s="211"/>
      <c r="Q48" s="59"/>
    </row>
    <row r="49" spans="2:17" ht="30" x14ac:dyDescent="0.25">
      <c r="B49" s="232"/>
      <c r="C49" s="61"/>
      <c r="E49" s="248"/>
      <c r="F49" s="228"/>
      <c r="G49" s="251"/>
      <c r="H49" s="115" t="s">
        <v>42</v>
      </c>
      <c r="I49" s="97">
        <v>36</v>
      </c>
      <c r="J49" s="97">
        <f>SUMIF('Points Lookup'!$A:$A,I49,'Points Lookup'!$B:$B)</f>
        <v>40322</v>
      </c>
      <c r="K49" s="97">
        <f>IF((SUMIF('Points Lookup'!$D:$D,I49,'Points Lookup'!$E:$E))=0,"",SUMIF('Points Lookup'!$D:$D,I49,'Points Lookup'!$E:$E))</f>
        <v>40927</v>
      </c>
      <c r="L49" s="56"/>
      <c r="M49" s="233" t="s">
        <v>43</v>
      </c>
      <c r="N49" s="229" t="s">
        <v>44</v>
      </c>
      <c r="O49" s="230" t="s">
        <v>45</v>
      </c>
      <c r="P49" s="64"/>
      <c r="Q49" s="59"/>
    </row>
    <row r="50" spans="2:17" ht="24" customHeight="1" x14ac:dyDescent="0.25">
      <c r="B50" s="232"/>
      <c r="C50" s="61"/>
      <c r="E50" s="248"/>
      <c r="F50" s="229"/>
      <c r="G50" s="251"/>
      <c r="H50" s="54"/>
      <c r="I50" s="97">
        <v>37</v>
      </c>
      <c r="J50" s="97">
        <f>SUMIF('Points Lookup'!$A:$A,I50,'Points Lookup'!$B:$B)</f>
        <v>41526</v>
      </c>
      <c r="K50" s="97">
        <f>IF((SUMIF('Points Lookup'!$D:$D,I50,'Points Lookup'!$E:$E))=0,"",SUMIF('Points Lookup'!$D:$D,I50,'Points Lookup'!$E:$E))</f>
        <v>42149</v>
      </c>
      <c r="M50" s="233"/>
      <c r="N50" s="229"/>
      <c r="O50" s="230"/>
      <c r="P50" s="64"/>
      <c r="Q50" s="59"/>
    </row>
    <row r="51" spans="2:17" ht="24" customHeight="1" x14ac:dyDescent="0.25">
      <c r="B51" s="232"/>
      <c r="C51" s="61"/>
      <c r="E51" s="248"/>
      <c r="F51" s="229"/>
      <c r="G51" s="251"/>
      <c r="H51" s="54"/>
      <c r="I51" s="97">
        <v>38</v>
      </c>
      <c r="J51" s="97">
        <f>SUMIF('Points Lookup'!$A:$A,I51,'Points Lookup'!$B:$B)</f>
        <v>42792</v>
      </c>
      <c r="K51" s="97">
        <f>IF((SUMIF('Points Lookup'!$D:$D,I51,'Points Lookup'!$E:$E))=0,"",SUMIF('Points Lookup'!$D:$D,I51,'Points Lookup'!$E:$E))</f>
        <v>43434</v>
      </c>
      <c r="M51" s="233"/>
      <c r="N51" s="229"/>
      <c r="O51" s="230"/>
      <c r="P51" s="64"/>
      <c r="Q51" s="59"/>
    </row>
    <row r="52" spans="2:17" ht="24" customHeight="1" x14ac:dyDescent="0.25">
      <c r="B52" s="232"/>
      <c r="C52" s="61"/>
      <c r="E52" s="249"/>
      <c r="F52" s="229"/>
      <c r="G52" s="252"/>
      <c r="H52" s="55"/>
      <c r="I52" s="97">
        <v>39</v>
      </c>
      <c r="J52" s="97">
        <f>SUMIF('Points Lookup'!$A:$A,I52,'Points Lookup'!$B:$B)</f>
        <v>44045</v>
      </c>
      <c r="K52" s="97">
        <f>IF((SUMIF('Points Lookup'!$D:$D,I52,'Points Lookup'!$E:$E))=0,"",SUMIF('Points Lookup'!$D:$D,I52,'Points Lookup'!$E:$E))</f>
        <v>44706</v>
      </c>
      <c r="M52" s="233"/>
      <c r="N52" s="229"/>
      <c r="O52" s="230"/>
      <c r="P52" s="64"/>
      <c r="Q52" s="59"/>
    </row>
    <row r="53" spans="2:17" ht="24" customHeight="1" x14ac:dyDescent="0.25">
      <c r="I53" s="97">
        <v>40</v>
      </c>
      <c r="J53" s="97">
        <f>SUMIF('Points Lookup'!$A:$A,I53,'Points Lookup'!$B:$B)</f>
        <v>45361</v>
      </c>
      <c r="K53" s="97">
        <f>IF((SUMIF('Points Lookup'!$D:$D,I53,'Points Lookup'!$E:$E))=0,"",SUMIF('Points Lookup'!$D:$D,I53,'Points Lookup'!$E:$E))</f>
        <v>46042</v>
      </c>
      <c r="M53" s="233"/>
      <c r="N53" s="229"/>
      <c r="O53" s="230"/>
      <c r="P53" s="64"/>
      <c r="Q53" s="59"/>
    </row>
    <row r="54" spans="2:17" ht="24" customHeight="1" x14ac:dyDescent="0.25">
      <c r="I54" s="97">
        <v>41</v>
      </c>
      <c r="J54" s="97">
        <f>SUMIF('Points Lookup'!$A:$A,I54,'Points Lookup'!$B:$B)</f>
        <v>46718</v>
      </c>
      <c r="K54" s="97">
        <f>IF((SUMIF('Points Lookup'!$D:$D,I54,'Points Lookup'!$E:$E))=0,"",SUMIF('Points Lookup'!$D:$D,I54,'Points Lookup'!$E:$E))</f>
        <v>47419</v>
      </c>
      <c r="M54" s="233"/>
      <c r="N54" s="229"/>
      <c r="O54" s="230"/>
      <c r="P54" s="64"/>
      <c r="Q54" s="59"/>
    </row>
    <row r="55" spans="2:17" ht="24" customHeight="1" x14ac:dyDescent="0.25">
      <c r="I55" s="97">
        <v>42</v>
      </c>
      <c r="J55" s="97">
        <f>SUMIF('Points Lookup'!$A:$A,I55,'Points Lookup'!$B:$B)</f>
        <v>48114</v>
      </c>
      <c r="K55" s="97">
        <f>IF((SUMIF('Points Lookup'!$D:$D,I55,'Points Lookup'!$E:$E))=0,"",SUMIF('Points Lookup'!$D:$D,I55,'Points Lookup'!$E:$E))</f>
        <v>48835</v>
      </c>
      <c r="M55" s="233"/>
      <c r="N55" s="229"/>
      <c r="O55" s="230"/>
      <c r="P55" s="64"/>
      <c r="Q55" s="59"/>
    </row>
    <row r="56" spans="2:17" ht="30" x14ac:dyDescent="0.25">
      <c r="I56" s="97">
        <v>43</v>
      </c>
      <c r="J56" s="97">
        <f>SUMIF('Points Lookup'!$A:$A,I56,'Points Lookup'!$B:$B)</f>
        <v>49553</v>
      </c>
      <c r="K56" s="97">
        <f>IF((SUMIF('Points Lookup'!$D:$D,I56,'Points Lookup'!$E:$E))=0,"",SUMIF('Points Lookup'!$D:$D,I56,'Points Lookup'!$E:$E))</f>
        <v>50296</v>
      </c>
      <c r="L56" s="115" t="s">
        <v>46</v>
      </c>
      <c r="M56" s="233"/>
      <c r="N56" s="229"/>
      <c r="O56" s="230"/>
      <c r="P56" s="64"/>
      <c r="Q56" s="59"/>
    </row>
    <row r="57" spans="2:17" ht="24" customHeight="1" x14ac:dyDescent="0.25">
      <c r="I57" s="97">
        <v>44</v>
      </c>
      <c r="J57" s="97">
        <f>SUMIF('Points Lookup'!$A:$A,I57,'Points Lookup'!$B:$B)</f>
        <v>51034</v>
      </c>
      <c r="K57" s="97">
        <f>IF((SUMIF('Points Lookup'!$D:$D,I57,'Points Lookup'!$E:$E))=0,"",SUMIF('Points Lookup'!$D:$D,I57,'Points Lookup'!$E:$E))</f>
        <v>51799</v>
      </c>
      <c r="M57" s="233"/>
      <c r="N57" s="229"/>
      <c r="O57" s="230"/>
      <c r="P57" s="64"/>
      <c r="Q57" s="59"/>
    </row>
    <row r="58" spans="2:17" ht="24" customHeight="1" x14ac:dyDescent="0.25">
      <c r="E58" s="247" t="s">
        <v>47</v>
      </c>
      <c r="F58" s="229" t="s">
        <v>48</v>
      </c>
      <c r="G58" s="233" t="s">
        <v>49</v>
      </c>
      <c r="H58" s="53"/>
      <c r="I58" s="97">
        <v>45</v>
      </c>
      <c r="J58" s="97">
        <f>SUMIF('Points Lookup'!$A:$A,I58,'Points Lookup'!$B:$B)</f>
        <v>52560</v>
      </c>
      <c r="K58" s="97">
        <f>IF((SUMIF('Points Lookup'!$D:$D,I58,'Points Lookup'!$E:$E))=0,"",SUMIF('Points Lookup'!$D:$D,I58,'Points Lookup'!$E:$E))</f>
        <v>53348</v>
      </c>
      <c r="M58" s="233"/>
      <c r="N58" s="229"/>
      <c r="O58" s="230"/>
      <c r="P58" s="64"/>
      <c r="Q58" s="59"/>
    </row>
    <row r="59" spans="2:17" ht="24" customHeight="1" x14ac:dyDescent="0.25">
      <c r="E59" s="248"/>
      <c r="F59" s="229"/>
      <c r="G59" s="233"/>
      <c r="H59" s="54"/>
      <c r="I59" s="97">
        <v>46</v>
      </c>
      <c r="J59" s="97">
        <f>SUMIF('Points Lookup'!$A:$A,I59,'Points Lookup'!$B:$B)</f>
        <v>54131</v>
      </c>
      <c r="K59" s="97">
        <f>IF((SUMIF('Points Lookup'!$D:$D,I59,'Points Lookup'!$E:$E))=0,"",SUMIF('Points Lookup'!$D:$D,I59,'Points Lookup'!$E:$E))</f>
        <v>54943</v>
      </c>
      <c r="M59" s="233"/>
      <c r="N59" s="229"/>
      <c r="O59" s="230"/>
      <c r="P59" s="64"/>
      <c r="Q59" s="59"/>
    </row>
    <row r="60" spans="2:17" ht="24" customHeight="1" x14ac:dyDescent="0.25">
      <c r="E60" s="248"/>
      <c r="F60" s="229"/>
      <c r="G60" s="233"/>
      <c r="H60" s="54"/>
      <c r="I60" s="97">
        <v>47</v>
      </c>
      <c r="J60" s="97">
        <f>SUMIF('Points Lookup'!$A:$A,I60,'Points Lookup'!$B:$B)</f>
        <v>55750</v>
      </c>
      <c r="K60" s="97">
        <f>IF((SUMIF('Points Lookup'!$D:$D,I60,'Points Lookup'!$E:$E))=0,"",SUMIF('Points Lookup'!$D:$D,I60,'Points Lookup'!$E:$E))</f>
        <v>56587</v>
      </c>
      <c r="M60" s="233"/>
      <c r="N60" s="229"/>
      <c r="O60" s="230"/>
      <c r="P60" s="64"/>
      <c r="Q60" s="59"/>
    </row>
    <row r="61" spans="2:17" ht="24" customHeight="1" x14ac:dyDescent="0.25">
      <c r="E61" s="248"/>
      <c r="F61" s="229"/>
      <c r="G61" s="233"/>
      <c r="H61" s="54"/>
      <c r="I61" s="97">
        <v>48</v>
      </c>
      <c r="J61" s="97">
        <f>SUMIF('Points Lookup'!$A:$A,I61,'Points Lookup'!$B:$B)</f>
        <v>57418</v>
      </c>
      <c r="K61" s="97">
        <f>IF((SUMIF('Points Lookup'!$D:$D,I61,'Points Lookup'!$E:$E))=0,"",SUMIF('Points Lookup'!$D:$D,I61,'Points Lookup'!$E:$E))</f>
        <v>58279</v>
      </c>
      <c r="L61" s="58"/>
      <c r="M61" s="233"/>
      <c r="N61" s="229"/>
      <c r="O61" s="230"/>
      <c r="P61" s="116"/>
      <c r="Q61" s="59"/>
    </row>
    <row r="62" spans="2:17" ht="24" customHeight="1" x14ac:dyDescent="0.25">
      <c r="E62" s="248"/>
      <c r="F62" s="229"/>
      <c r="G62" s="233"/>
      <c r="H62" s="54"/>
      <c r="I62" s="97">
        <v>49</v>
      </c>
      <c r="J62" s="97">
        <f>SUMIF('Points Lookup'!$A:$A,I62,'Points Lookup'!$B:$B)</f>
        <v>59135</v>
      </c>
      <c r="K62" s="97">
        <f>IF((SUMIF('Points Lookup'!$D:$D,I62,'Points Lookup'!$E:$E))=0,"",SUMIF('Points Lookup'!$D:$D,I62,'Points Lookup'!$E:$E))</f>
        <v>60022</v>
      </c>
      <c r="Q62" s="59"/>
    </row>
    <row r="63" spans="2:17" ht="24" customHeight="1" x14ac:dyDescent="0.25">
      <c r="E63" s="248"/>
      <c r="F63" s="229"/>
      <c r="G63" s="233"/>
      <c r="H63" s="54"/>
      <c r="I63" s="97">
        <v>50</v>
      </c>
      <c r="J63" s="97">
        <f>SUMIF('Points Lookup'!$A:$A,I63,'Points Lookup'!$B:$B)</f>
        <v>60905</v>
      </c>
      <c r="K63" s="97">
        <f>IF((SUMIF('Points Lookup'!$D:$D,I63,'Points Lookup'!$E:$E))=0,"",SUMIF('Points Lookup'!$D:$D,I63,'Points Lookup'!$E:$E))</f>
        <v>61818</v>
      </c>
      <c r="Q63" s="59"/>
    </row>
    <row r="64" spans="2:17" ht="30" x14ac:dyDescent="0.25">
      <c r="E64" s="248"/>
      <c r="F64" s="228"/>
      <c r="G64" s="233"/>
      <c r="H64" s="96" t="s">
        <v>50</v>
      </c>
      <c r="I64" s="97">
        <v>51</v>
      </c>
      <c r="J64" s="97">
        <f>SUMIF('Points Lookup'!$A:$A,I64,'Points Lookup'!$B:$B)</f>
        <v>62727</v>
      </c>
      <c r="K64" s="97">
        <f>IF((SUMIF('Points Lookup'!$D:$D,I64,'Points Lookup'!$E:$E))=0,"",SUMIF('Points Lookup'!$D:$D,I64,'Points Lookup'!$E:$E))</f>
        <v>63668</v>
      </c>
      <c r="Q64" s="59"/>
    </row>
    <row r="65" spans="5:11" ht="24" customHeight="1" x14ac:dyDescent="0.25">
      <c r="E65" s="248"/>
      <c r="F65" s="229"/>
      <c r="G65" s="233"/>
      <c r="H65" s="54"/>
      <c r="I65" s="97">
        <v>52</v>
      </c>
      <c r="J65" s="97">
        <f>SUMIF('Points Lookup'!$A:$A,I65,'Points Lookup'!$B:$B)</f>
        <v>64585</v>
      </c>
      <c r="K65" s="97">
        <f>IF((SUMIF('Points Lookup'!$D:$D,I65,'Points Lookup'!$E:$E))=0,"",SUMIF('Points Lookup'!$D:$D,I65,'Points Lookup'!$E:$E))</f>
        <v>65554</v>
      </c>
    </row>
    <row r="66" spans="5:11" ht="24" customHeight="1" x14ac:dyDescent="0.25">
      <c r="E66" s="248"/>
      <c r="F66" s="229"/>
      <c r="G66" s="233"/>
      <c r="H66" s="54"/>
      <c r="I66" s="97">
        <v>53</v>
      </c>
      <c r="J66" s="97">
        <f>SUMIF('Points Lookup'!$A:$A,I66,'Points Lookup'!$B:$B)</f>
        <v>66518</v>
      </c>
      <c r="K66" s="97">
        <f>IF((SUMIF('Points Lookup'!$D:$D,I66,'Points Lookup'!$E:$E))=0,"",SUMIF('Points Lookup'!$D:$D,I66,'Points Lookup'!$E:$E))</f>
        <v>67516</v>
      </c>
    </row>
    <row r="67" spans="5:11" ht="24" customHeight="1" x14ac:dyDescent="0.25">
      <c r="E67" s="248"/>
      <c r="F67" s="229"/>
      <c r="G67" s="233"/>
      <c r="H67" s="54"/>
      <c r="I67" s="97">
        <v>54</v>
      </c>
      <c r="J67" s="97">
        <f>SUMIF('Points Lookup'!$A:$A,I67,'Points Lookup'!$B:$B)</f>
        <v>68511</v>
      </c>
      <c r="K67" s="97">
        <f>IF((SUMIF('Points Lookup'!$D:$D,I67,'Points Lookup'!$E:$E))=0,"",SUMIF('Points Lookup'!$D:$D,I67,'Points Lookup'!$E:$E))</f>
        <v>69539</v>
      </c>
    </row>
    <row r="68" spans="5:11" ht="24" customHeight="1" x14ac:dyDescent="0.25">
      <c r="E68" s="248"/>
      <c r="F68" s="229"/>
      <c r="G68" s="233"/>
      <c r="H68" s="54"/>
      <c r="I68" s="97">
        <v>55</v>
      </c>
      <c r="J68" s="97">
        <f>SUMIF('Points Lookup'!$A:$A,I68,'Points Lookup'!$B:$B)</f>
        <v>70561</v>
      </c>
      <c r="K68" s="97">
        <f>IF((SUMIF('Points Lookup'!$D:$D,I68,'Points Lookup'!$E:$E))=0,"",SUMIF('Points Lookup'!$D:$D,I68,'Points Lookup'!$E:$E))</f>
        <v>71619</v>
      </c>
    </row>
    <row r="69" spans="5:11" ht="24" customHeight="1" x14ac:dyDescent="0.25">
      <c r="E69" s="248"/>
      <c r="F69" s="229"/>
      <c r="G69" s="233"/>
      <c r="H69" s="54"/>
      <c r="I69" s="97">
        <v>56</v>
      </c>
      <c r="J69" s="97">
        <f>SUMIF('Points Lookup'!$A:$A,I69,'Points Lookup'!$B:$B)</f>
        <v>72672</v>
      </c>
      <c r="K69" s="97">
        <f>IF((SUMIF('Points Lookup'!$D:$D,I69,'Points Lookup'!$E:$E))=0,"",SUMIF('Points Lookup'!$D:$D,I69,'Points Lookup'!$E:$E))</f>
        <v>73762</v>
      </c>
    </row>
    <row r="70" spans="5:11" ht="24" customHeight="1" x14ac:dyDescent="0.25">
      <c r="E70" s="249"/>
      <c r="F70" s="229"/>
      <c r="G70" s="233"/>
      <c r="H70" s="55"/>
      <c r="I70" s="97">
        <v>57</v>
      </c>
      <c r="J70" s="97">
        <f>SUMIF('Points Lookup'!$A:$A,I70,'Points Lookup'!$B:$B)</f>
        <v>74847</v>
      </c>
      <c r="K70" s="97">
        <f>IF((SUMIF('Points Lookup'!$D:$D,I70,'Points Lookup'!$E:$E))=0,"",SUMIF('Points Lookup'!$D:$D,I70,'Points Lookup'!$E:$E))</f>
        <v>75970</v>
      </c>
    </row>
    <row r="71" spans="5:11" ht="35.1" customHeight="1" x14ac:dyDescent="0.25"/>
    <row r="72" spans="5:11" ht="35.1" customHeight="1" x14ac:dyDescent="0.25"/>
  </sheetData>
  <sheetProtection algorithmName="SHA-512" hashValue="sv7Ooq1vqtXi380uWORGd2BMM+Xv2lw3ZylS2+ldtc5edwCctt84kj9cykHYMlQdvQg3VSiGrKwv6aSLasvDqw==" saltValue="1Nhn/goEgGZNtC6hQQ05Bw==" spinCount="100000" sheet="1" objects="1" scenarios="1"/>
  <mergeCells count="41">
    <mergeCell ref="E8:R8"/>
    <mergeCell ref="E11:R11"/>
    <mergeCell ref="E10:R10"/>
    <mergeCell ref="E13:R13"/>
    <mergeCell ref="B36:B43"/>
    <mergeCell ref="E16:E19"/>
    <mergeCell ref="E58:E70"/>
    <mergeCell ref="G40:G52"/>
    <mergeCell ref="N49:N61"/>
    <mergeCell ref="G58:G70"/>
    <mergeCell ref="E40:E52"/>
    <mergeCell ref="U29:U35"/>
    <mergeCell ref="S32:T32"/>
    <mergeCell ref="F36:F39"/>
    <mergeCell ref="N16:N25"/>
    <mergeCell ref="O16:O25"/>
    <mergeCell ref="Q16:Q17"/>
    <mergeCell ref="R17:R18"/>
    <mergeCell ref="Q18:Q19"/>
    <mergeCell ref="R19:R20"/>
    <mergeCell ref="Q20:Q21"/>
    <mergeCell ref="Q23:Q24"/>
    <mergeCell ref="Q28:Q29"/>
    <mergeCell ref="Q34:Q35"/>
    <mergeCell ref="Q37:Q38"/>
    <mergeCell ref="A4:U4"/>
    <mergeCell ref="E6:R6"/>
    <mergeCell ref="M46:M48"/>
    <mergeCell ref="A1:U2"/>
    <mergeCell ref="N31:N43"/>
    <mergeCell ref="O31:O43"/>
    <mergeCell ref="E22:E34"/>
    <mergeCell ref="G36:G39"/>
    <mergeCell ref="F22:F34"/>
    <mergeCell ref="F40:F52"/>
    <mergeCell ref="O49:O61"/>
    <mergeCell ref="F58:F70"/>
    <mergeCell ref="B44:B52"/>
    <mergeCell ref="M49:M61"/>
    <mergeCell ref="S25:T25"/>
    <mergeCell ref="U22:U28"/>
  </mergeCells>
  <conditionalFormatting sqref="Q16">
    <cfRule type="expression" dxfId="26" priority="10" stopIfTrue="1">
      <formula>RIGHT(Q16,12)="Standard Max"</formula>
    </cfRule>
  </conditionalFormatting>
  <conditionalFormatting sqref="Q23">
    <cfRule type="expression" dxfId="25" priority="9" stopIfTrue="1">
      <formula>RIGHT(Q23,12)="Standard Max"</formula>
    </cfRule>
  </conditionalFormatting>
  <conditionalFormatting sqref="Q28">
    <cfRule type="expression" dxfId="24" priority="8" stopIfTrue="1">
      <formula>RIGHT(Q28,12)="Standard Max"</formula>
    </cfRule>
  </conditionalFormatting>
  <conditionalFormatting sqref="C22:C31">
    <cfRule type="expression" dxfId="23" priority="7" stopIfTrue="1">
      <formula>RIGHT(C22,12)="Standard Max"</formula>
    </cfRule>
  </conditionalFormatting>
  <conditionalFormatting sqref="Q31:Q33 Q36 Q39:Q64">
    <cfRule type="expression" dxfId="22" priority="6" stopIfTrue="1">
      <formula>RIGHT(Q31,12)="Standard Max"</formula>
    </cfRule>
  </conditionalFormatting>
  <conditionalFormatting sqref="Q34">
    <cfRule type="expression" dxfId="21" priority="5" stopIfTrue="1">
      <formula>RIGHT(Q34,12)="Standard Max"</formula>
    </cfRule>
  </conditionalFormatting>
  <conditionalFormatting sqref="Q37">
    <cfRule type="expression" dxfId="20" priority="4" stopIfTrue="1">
      <formula>RIGHT(Q37,12)="Standard Max"</formula>
    </cfRule>
  </conditionalFormatting>
  <conditionalFormatting sqref="R17">
    <cfRule type="expression" dxfId="19" priority="3" stopIfTrue="1">
      <formula>RIGHT(R17,12)="Standard Max"</formula>
    </cfRule>
  </conditionalFormatting>
  <conditionalFormatting sqref="F40:F52">
    <cfRule type="expression" dxfId="18" priority="2" stopIfTrue="1">
      <formula>RIGHT(F40,12)="Standard Max"</formula>
    </cfRule>
  </conditionalFormatting>
  <conditionalFormatting sqref="E40:E52">
    <cfRule type="expression" dxfId="17" priority="1" stopIfTrue="1">
      <formula>RIGHT(E40,12)="Standard Max"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42" orientation="portrait" r:id="rId1"/>
  <headerFooter>
    <oddHeader>&amp;C&amp;"Arial,Bold"&amp;24Effective Date of Pay Award (where agreed): 01/08/2021</oddHeader>
    <oddFooter>&amp;C&amp;"Arial,Regular"&amp;10Version 1, last updated 13/10/2021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2406D7-62B8-4EAE-BE3A-494CBAD89479}">
  <sheetPr>
    <tabColor theme="3"/>
    <pageSetUpPr fitToPage="1"/>
  </sheetPr>
  <dimension ref="B1:AO301"/>
  <sheetViews>
    <sheetView showGridLines="0" zoomScaleNormal="100" workbookViewId="0">
      <selection activeCell="A9" sqref="A9"/>
    </sheetView>
  </sheetViews>
  <sheetFormatPr defaultColWidth="9.140625" defaultRowHeight="18" x14ac:dyDescent="0.25"/>
  <cols>
    <col min="1" max="1" width="2.140625" style="39" customWidth="1"/>
    <col min="2" max="2" width="16.7109375" style="39" customWidth="1"/>
    <col min="3" max="3" width="26.140625" style="39" customWidth="1"/>
    <col min="4" max="4" width="15.28515625" style="39" customWidth="1"/>
    <col min="5" max="5" width="3.7109375" style="39" customWidth="1"/>
    <col min="6" max="9" width="15.5703125" style="39" customWidth="1"/>
    <col min="10" max="10" width="21.28515625" style="39" customWidth="1"/>
    <col min="11" max="11" width="15.5703125" style="39" customWidth="1"/>
    <col min="12" max="12" width="4.85546875" style="39" customWidth="1"/>
    <col min="13" max="16" width="13.140625" style="39" customWidth="1"/>
    <col min="17" max="17" width="14.28515625" style="39" customWidth="1"/>
    <col min="18" max="18" width="9.140625" style="39" customWidth="1"/>
    <col min="19" max="22" width="15.7109375" style="68" customWidth="1"/>
    <col min="23" max="25" width="9.140625" style="69" customWidth="1"/>
    <col min="26" max="26" width="6.140625" style="39" customWidth="1"/>
    <col min="27" max="27" width="11.42578125" style="39" customWidth="1"/>
    <col min="28" max="32" width="6.140625" style="39" customWidth="1"/>
    <col min="33" max="40" width="9.140625" style="69" customWidth="1"/>
    <col min="41" max="41" width="9.140625" style="39" customWidth="1"/>
    <col min="42" max="16384" width="9.140625" style="39"/>
  </cols>
  <sheetData>
    <row r="1" spans="2:41" ht="11.25" customHeight="1" x14ac:dyDescent="0.25">
      <c r="B1" s="70"/>
      <c r="C1" s="58"/>
    </row>
    <row r="2" spans="2:41" ht="61.5" customHeight="1" x14ac:dyDescent="0.25">
      <c r="B2" s="282" t="s">
        <v>118</v>
      </c>
      <c r="C2" s="283"/>
      <c r="F2" s="288" t="str">
        <f>IF(OR($B$2="O&amp;F1-A",$B$2="O&amp;F1-B",$B$2="O&amp;F1-C",$B$2="O&amp;F1-D",$B$2="O&amp;F1-E",$B$2="O&amp;F2-A",$B$2="O&amp;F2-B"),"O&amp;F Shift Extended Hours = £3,840.13
O&amp;F Shift 24/7 = £5,120.30
-where applicable-",IF(Thresholds_Rates!C15=0,"","STANDARD MAXIMUM"))</f>
        <v/>
      </c>
      <c r="G2" s="285"/>
      <c r="H2" s="285"/>
      <c r="I2" s="285"/>
      <c r="J2" s="285"/>
      <c r="K2" s="285"/>
      <c r="L2" s="71"/>
      <c r="AG2" s="72" t="s">
        <v>69</v>
      </c>
    </row>
    <row r="3" spans="2:41" ht="10.5" customHeight="1" x14ac:dyDescent="0.25">
      <c r="B3" s="73"/>
      <c r="C3" s="71"/>
      <c r="D3" s="71"/>
      <c r="E3" s="71"/>
      <c r="G3" s="71"/>
      <c r="H3" s="71"/>
      <c r="I3" s="71"/>
      <c r="J3" s="71"/>
      <c r="K3" s="71"/>
      <c r="L3" s="71"/>
      <c r="AG3" s="72"/>
    </row>
    <row r="4" spans="2:41" ht="8.25" customHeight="1" x14ac:dyDescent="0.25">
      <c r="B4" s="71"/>
      <c r="C4" s="71"/>
      <c r="D4" s="71"/>
      <c r="E4" s="71"/>
      <c r="G4" s="71"/>
      <c r="H4" s="71"/>
      <c r="I4" s="71"/>
      <c r="J4" s="71"/>
      <c r="K4" s="71"/>
      <c r="L4" s="71"/>
      <c r="AG4" s="72"/>
    </row>
    <row r="5" spans="2:41" ht="141" customHeight="1" x14ac:dyDescent="0.25">
      <c r="B5" s="284" t="str">
        <f>IF(VLOOKUP($B$2,Grades!$A:$BS,71,0)="Y",'Level 1-6 Scale'!E10,"")</f>
        <v>The 2021/22 Living Wage Foundation rate has been applied from 1 November 2021. The following annual non-consolidated top up payments apply, paid monthly:
Spine point 3: £1,512 (pro-rata)
Spine point 4: £1,254 (pro-rata)
Spine point 5: £949 (pro-rata)
Spine point 6: £638 (pro-rata)
Spine point 7: £321 (pro-rata)</v>
      </c>
      <c r="C5" s="284"/>
      <c r="D5" s="284"/>
      <c r="F5" s="279" t="s">
        <v>210</v>
      </c>
      <c r="G5" s="280"/>
      <c r="H5" s="280"/>
      <c r="I5" s="280"/>
      <c r="J5" s="280"/>
      <c r="K5" s="281"/>
      <c r="M5" s="278" t="s">
        <v>71</v>
      </c>
      <c r="N5" s="278"/>
      <c r="O5" s="278"/>
      <c r="P5" s="278"/>
      <c r="Q5" s="278"/>
      <c r="S5" s="277" t="str">
        <f>IF(OR($B$2="R&amp;T Level 5 - Clinical Lecturers (Vet School)",$B$2="R&amp;T Level 6 - Clinical Associate Professors and Clinical Readers (Vet School)"),"AVA Details","")</f>
        <v/>
      </c>
      <c r="T5" s="277"/>
      <c r="U5" s="277" t="str">
        <f>IF($B$2="R&amp;T Level 5 - Clinical Lecturers (Vet School)","Clinical Supplement
Can earn up to 15%
(Maximum Shown Below)",IF($B$2="R&amp;T Level 6 - Clinical Associate Professors and Clinical Readers (Vet School)","Clinical Supplement
Can earn up to 20%
(Maximum Shown Below)",""))</f>
        <v/>
      </c>
      <c r="V5" s="277"/>
      <c r="X5" s="39"/>
      <c r="AG5" s="72" t="s">
        <v>72</v>
      </c>
    </row>
    <row r="6" spans="2:41" ht="57" customHeight="1" x14ac:dyDescent="0.25">
      <c r="B6" s="74" t="s">
        <v>57</v>
      </c>
      <c r="C6" s="74" t="str">
        <f>IF(OR($B$2=$AG$2,$B$2=$AG$5),"Salary + AVA
(for further details scroll right)","Salary")</f>
        <v>Salary</v>
      </c>
      <c r="D6" s="75" t="s">
        <v>73</v>
      </c>
      <c r="E6" s="76"/>
      <c r="F6" s="77" t="s">
        <v>74</v>
      </c>
      <c r="G6" s="77" t="s">
        <v>75</v>
      </c>
      <c r="H6" s="77" t="s">
        <v>76</v>
      </c>
      <c r="I6" s="78" t="s">
        <v>77</v>
      </c>
      <c r="J6" s="78" t="s">
        <v>78</v>
      </c>
      <c r="K6" s="77" t="s">
        <v>79</v>
      </c>
      <c r="L6" s="71"/>
      <c r="M6" s="78" t="s">
        <v>80</v>
      </c>
      <c r="N6" s="78" t="s">
        <v>81</v>
      </c>
      <c r="O6" s="78" t="s">
        <v>82</v>
      </c>
      <c r="P6" s="78" t="s">
        <v>83</v>
      </c>
      <c r="Q6" s="79" t="s">
        <v>84</v>
      </c>
      <c r="S6" s="80" t="str">
        <f>IF(OR($B$2="R&amp;T Level 5 - Clinical Lecturers (Vet School)",$B$2="R&amp;T Level 6 - Clinical Associate Professors and Clinical Readers (Vet School)"),"AVA %","")</f>
        <v/>
      </c>
      <c r="T6" s="80" t="str">
        <f>IF(OR($B$2="R&amp;T Level 5 - Clinical Lecturers (Vet School)",$B$2="R&amp;T Level 6 - Clinical Associate Professors and Clinical Readers (Vet School)"),"AVA Amount","")</f>
        <v/>
      </c>
      <c r="U6" s="80" t="str">
        <f>IF(OR($B$2="R&amp;T Level 5 - Clinical Lecturers (Vet School)",$B$2="R&amp;T Level 6 - Clinical Associate Professors and Clinical Readers (Vet School)"),"Clinical Supplement %","")</f>
        <v/>
      </c>
      <c r="V6" s="80" t="str">
        <f>IF(OR($B$2="R&amp;T Level 5 - Clinical Lecturers (Vet School)",$B$2="R&amp;T Level 6 - Clinical Associate Professors and Clinical Readers (Vet School)"),"Clinical Supplement Amount","")</f>
        <v/>
      </c>
      <c r="W6" s="50"/>
      <c r="X6" s="39"/>
      <c r="AO6" s="69"/>
    </row>
    <row r="7" spans="2:41" x14ac:dyDescent="0.25">
      <c r="B7" s="68" t="str">
        <f ca="1">IFERROR(INDEX('Points Lookup'!$A:$A,MATCH($AA7,'Points Lookup'!$AN:$AN,0)),"")</f>
        <v/>
      </c>
      <c r="C7" s="81" t="str">
        <f ca="1">IF(B7="","",IF($B$2="Apprenticeship",SUMIF('Points Lookup'!$AJ:$AJ,B7,'Points Lookup'!$AL:$AL),IF(AND(OR($B$2="New Consultant Contract"),$B7&lt;&gt;""),INDEX('Points Lookup'!$T:$T,MATCH($B7,'Points Lookup'!$S:$S,0)),IF(AND(OR($B$2="Clinical Lecturer / Medical Research Fellow",$B$2="Clinical Consultant - Old Contract (GP)"),$B7&lt;&gt;""),INDEX('Points Lookup'!$Q:$Q,MATCH($B7,'Points Lookup'!$P:$P,0)),IF(AND(OR($B$2="APM Level 7",$B$2="R&amp;T Level 7",$B$2="APM Level 8",$B$2="Technical Services Level 7"),B7&lt;&gt;""),INDEX('Points Lookup'!$H:$H,MATCH($AA7,'Points Lookup'!$AN:$AN,0)),IF($B$2="R&amp;T Level 5 - Clinical Lecturers (Vet School)",SUMIF('Points Lookup'!$V:$V,$B7,'Points Lookup'!$Y:$Y),IF($B$2="R&amp;T Level 6 - Clinical Associate Professors and Clinical Readers (Vet School)",SUMIF('Points Lookup'!$AC:$AC,$B7,'Points Lookup'!$AF:$AF),IF($B$2="CLDOCIT (Clinical Academic Doctors in Training",SUMIF('Points Lookup'!$M:$M,$B7,'Points Lookup'!$N:$N),IFERROR(INDEX('Points Lookup'!$B:$B,MATCH($AA7,'Points Lookup'!$AN:$AN,0)),"")))))))))</f>
        <v/>
      </c>
      <c r="D7" s="82" t="str">
        <f ca="1">IF(B7="","",IF(AND($B$3="Y",B7&lt;7),VLOOKUP($B7,Thresholds_Rates!$I$15:$J$18,2,FALSE),"-"))</f>
        <v/>
      </c>
      <c r="E7" s="82"/>
      <c r="F7" s="81" t="str">
        <f ca="1">IF($B7="","",IF(AND($B$2="Salary Points 3 to 57",B7&lt;Thresholds_Rates!$C$16),"-",IF(SUMIF(Grades!$A:$A,$B$2,Grades!$BO:$BO)=0,"-",IF(AND($B$2="Salary Points 3 to 57",B7&gt;=Thresholds_Rates!$C$16),$C7*Thresholds_Rates!$F$15,IF(AND(OR($B$2="New Consultant Contract"),$B7&lt;&gt;""),$C7*Thresholds_Rates!$F$15,IF(AND(OR($B$2="Clinical Lecturer / Medical Research Fellow",$B$2="Clinical Consultant - Old Contract (GP)"),$B7&lt;&gt;""),$C7*Thresholds_Rates!$F$15,IF(OR($B$2="APM Level 7",$B$2="R&amp;T Level 7"),$C7*Thresholds_Rates!$F$15,IF(SUMIF(Grades!$A:$A,$B$2,Grades!$BO:$BO)=1,$C7*Thresholds_Rates!$F$15,""))))))))</f>
        <v/>
      </c>
      <c r="G7" s="81" t="str">
        <f ca="1">IF(B7="","",IF($B$2="Salary Points 3 to 57","-",IF(SUMIF(Grades!$A:$A,$B$2,Grades!$BP:$BP)=0,"-",IF(AND(OR($B$2="New Consultant Contract"),$B7&lt;&gt;""),$C7*Thresholds_Rates!$F$16,IF(AND(OR($B$2="Clinical Lecturer / Medical Research Fellow",$B$2="Clinical Consultant - Old Contract (GP)"),$B7&lt;&gt;""),$C7*Thresholds_Rates!$F$16,IF(AND(OR($B$2="APM Level 7",$B$2="R&amp;T Level 7"),F7&lt;&gt;""),$C7*Thresholds_Rates!$F$16,IF(SUMIF(Grades!$A:$A,$B$2,Grades!$BP:$BP)=1,$C7*Thresholds_Rates!$F$16,"")))))))</f>
        <v/>
      </c>
      <c r="H7" s="81" t="str">
        <f ca="1">IF($B$2="Apprenticeship","-",IF(B7="","",IF(SUMIF(Grades!$A:$A,$B$2,Grades!$BQ:$BQ)=0,"-",IF(AND($B$2="Salary Points 3 to 57",B7&gt;Thresholds_Rates!$C$17),"-",IF(AND($B$2="Salary Points 3 to 57",B7&lt;=Thresholds_Rates!$C$17),$C7*Thresholds_Rates!$F$17,IF(AND(OR($B$2="New Consultant Contract"),$B7&lt;&gt;""),$C7*Thresholds_Rates!$F$17,IF(AND(OR($B$2="Clinical Lecturer / Medical Research Fellow",$B$2="Clinical Consultant - Old Contract (GP)"),$B7&lt;&gt;""),$C7*Thresholds_Rates!$F$17,IF(AND(OR($B$2="APM Level 7",$B$2="R&amp;T Level 7"),G7&lt;&gt;""),$C7*Thresholds_Rates!$F$17,IF(SUMIF(Grades!$A:$A,$B$2,Grades!$BQ:$BQ)=1,$C7*Thresholds_Rates!$F$17,"")))))))))</f>
        <v/>
      </c>
      <c r="I7" s="81" t="str">
        <f ca="1">IF($B7="","",ROUND(($C7-(Thresholds_Rates!$C$5*12))*Thresholds_Rates!$C$10,0))</f>
        <v/>
      </c>
      <c r="J7" s="81" t="str">
        <f ca="1">IF(B7="","",(C7*Thresholds_Rates!$C$12))</f>
        <v/>
      </c>
      <c r="K7" s="81" t="str">
        <f ca="1">IF(B7="","",IF(AND($B$2="Salary Points 3 to 57",B7&gt;Thresholds_Rates!$C$17),"-",IF(SUMIF(Grades!$A:$A,$B$2,Grades!$BR:$BR)=0,"-",IF(AND($B$2="Salary Points 3 to 57",B7&lt;=Thresholds_Rates!$C$17),$C7*Thresholds_Rates!$F$18,IF(AND(OR($B$2="New Consultant Contract"),$B7&lt;&gt;""),$C7*Thresholds_Rates!$F$18,IF(AND(OR($B$2="Clinical Lecturer / Medical Research Fellow",$B$2="Clinical Consultant - Old Contract (GP)"),$B7&lt;&gt;""),$C7*Thresholds_Rates!$F$18,IF(AND(OR($B$2="APM Level 7",$B$2="R&amp;T Level 7"),I7&lt;&gt;""),$C7*Thresholds_Rates!$F$18,IF(SUMIF(Grades!$A:$A,$B$2,Grades!$BQ:$BQ)=1,$C7*Thresholds_Rates!$F$18,""))))))))</f>
        <v/>
      </c>
      <c r="L7" s="68"/>
      <c r="M7" s="81" t="str">
        <f t="shared" ref="M7:M70" ca="1" si="0">IF(B7="","",IF(F7="-","-",$C7+$I7+F7+J7))</f>
        <v/>
      </c>
      <c r="N7" s="81" t="str">
        <f t="shared" ref="N7:N70" ca="1" si="1">IF(B7="","",IF(G7="-","-",$C7+$I7+G7+J7))</f>
        <v/>
      </c>
      <c r="O7" s="81" t="str">
        <f t="shared" ref="O7:O70" ca="1" si="2">IF(B7="","",IF(H7="-","-",$C7+$I7+H7+J7))</f>
        <v/>
      </c>
      <c r="P7" s="81" t="str">
        <f t="shared" ref="P7:P70" ca="1" si="3">IF(B7="","",IF(K7="-","-",$C7+$I7+K7+J7))</f>
        <v/>
      </c>
      <c r="Q7" s="81" t="str">
        <f t="shared" ref="Q7:Q70" ca="1" si="4">IF(B7="","",C7+I7+J7)</f>
        <v/>
      </c>
      <c r="R7" s="68"/>
      <c r="S7" s="83" t="str">
        <f ca="1">IF(B7="","",IF($B$2="R&amp;T Level 5 - Clinical Lecturers (Vet School)",SUMIF('Points Lookup'!$V:$V,$B7,'Points Lookup'!$W:$W),IF($B$2="R&amp;T Level 6 - Clinical Associate Professors and Clinical Readers (Vet School)",SUMIF('Points Lookup'!$AC:$AC,$B7,'Points Lookup'!$AD:$AD),"")))</f>
        <v/>
      </c>
      <c r="T7" s="84" t="str">
        <f ca="1">IF(B7="","",IF($B$2="R&amp;T Level 5 - Clinical Lecturers (Vet School)",$C7-SUMIF('Points Lookup'!$V:$V,$B7,'Points Lookup'!$X:$X),IF($B$2="R&amp;T Level 6 - Clinical Associate Professors and Clinical Readers (Vet School)",$C7-SUMIF('Points Lookup'!$AC:$AC,$B7,'Points Lookup'!$AE:$AE),"")))</f>
        <v/>
      </c>
      <c r="U7" s="83" t="str">
        <f ca="1">IF(B7="","",IF($B$2="R&amp;T Level 5 - Clinical Lecturers (Vet School)",SUMIF('Points Lookup'!$V:$V,$B7,'Points Lookup'!$Z:$Z),IF($B$2="R&amp;T Level 6 - Clinical Associate Professors and Clinical Readers (Vet School)",SUMIF('Points Lookup'!$AC:$AC,$B7,'Points Lookup'!$AG:$AG),"")))</f>
        <v/>
      </c>
      <c r="V7" s="84" t="str">
        <f t="shared" ref="V7:V70" ca="1" si="5">IF(B7="","",IF($B$2="R&amp;T Level 5 - Clinical Lecturers (Vet School)",ROUND(C7*U7,0),IF($B$2="R&amp;T Level 6 - Clinical Associate Professors and Clinical Readers (Vet School)",ROUND(C7*U7,0),"")))</f>
        <v/>
      </c>
      <c r="X7" s="39"/>
      <c r="AA7" s="39">
        <v>1</v>
      </c>
      <c r="AO7" s="69"/>
    </row>
    <row r="8" spans="2:41" ht="18.75" customHeight="1" x14ac:dyDescent="0.25">
      <c r="B8" s="68" t="str">
        <f ca="1">IFERROR(INDEX('Points Lookup'!$A:$A,MATCH($AA8,'Points Lookup'!$AN:$AN,0)),"")</f>
        <v/>
      </c>
      <c r="C8" s="81" t="str">
        <f ca="1">IF(B8="","",IF($B$2="Apprenticeship",SUMIF('Points Lookup'!$AJ:$AJ,B8,'Points Lookup'!$AL:$AL),IF(AND(OR($B$2="New Consultant Contract"),$B8&lt;&gt;""),INDEX('Points Lookup'!$T:$T,MATCH($B8,'Points Lookup'!$S:$S,0)),IF(AND(OR($B$2="Clinical Lecturer / Medical Research Fellow",$B$2="Clinical Consultant - Old Contract (GP)"),$B8&lt;&gt;""),INDEX('Points Lookup'!$Q:$Q,MATCH($B8,'Points Lookup'!$P:$P,0)),IF(AND(OR($B$2="APM Level 7",$B$2="R&amp;T Level 7",$B$2="APM Level 8",$B$2="Technical Services Level 7"),B8&lt;&gt;""),INDEX('Points Lookup'!$H:$H,MATCH($AA8,'Points Lookup'!$AN:$AN,0)),IF($B$2="R&amp;T Level 5 - Clinical Lecturers (Vet School)",SUMIF('Points Lookup'!$V:$V,$B8,'Points Lookup'!$Y:$Y),IF($B$2="R&amp;T Level 6 - Clinical Associate Professors and Clinical Readers (Vet School)",SUMIF('Points Lookup'!$AC:$AC,$B8,'Points Lookup'!$AF:$AF),IF($B$2="CLDOCIT (Clinical Academic Doctors in Training",SUMIF('Points Lookup'!$M:$M,$B8,'Points Lookup'!$N:$N),IFERROR(INDEX('Points Lookup'!$B:$B,MATCH($AA8,'Points Lookup'!$AN:$AN,0)),"")))))))))</f>
        <v/>
      </c>
      <c r="D8" s="82" t="str">
        <f ca="1">IF(B8="","",IF(AND($B$3="Y",B8&lt;7),VLOOKUP($B8,Thresholds_Rates!$I$15:$J$18,2,FALSE),"-"))</f>
        <v/>
      </c>
      <c r="E8" s="82"/>
      <c r="F8" s="81" t="str">
        <f ca="1">IF($B8="","",IF(AND($B$2="Salary Points 3 to 57",B8&lt;Thresholds_Rates!$C$16),"-",IF(SUMIF(Grades!$A:$A,$B$2,Grades!$BO:$BO)=0,"-",IF(AND($B$2="Salary Points 3 to 57",B8&gt;=Thresholds_Rates!$C$16),$C8*Thresholds_Rates!$F$15,IF(AND(OR($B$2="New Consultant Contract"),$B8&lt;&gt;""),$C8*Thresholds_Rates!$F$15,IF(AND(OR($B$2="Clinical Lecturer / Medical Research Fellow",$B$2="Clinical Consultant - Old Contract (GP)"),$B8&lt;&gt;""),$C8*Thresholds_Rates!$F$15,IF(OR($B$2="APM Level 7",$B$2="R&amp;T Level 7"),$C8*Thresholds_Rates!$F$15,IF(SUMIF(Grades!$A:$A,$B$2,Grades!$BO:$BO)=1,$C8*Thresholds_Rates!$F$15,""))))))))</f>
        <v/>
      </c>
      <c r="G8" s="81" t="str">
        <f ca="1">IF(B8="","",IF($B$2="Salary Points 3 to 57","-",IF(SUMIF(Grades!$A:$A,$B$2,Grades!$BP:$BP)=0,"-",IF(AND(OR($B$2="New Consultant Contract"),$B8&lt;&gt;""),$C8*Thresholds_Rates!$F$16,IF(AND(OR($B$2="Clinical Lecturer / Medical Research Fellow",$B$2="Clinical Consultant - Old Contract (GP)"),$B8&lt;&gt;""),$C8*Thresholds_Rates!$F$16,IF(AND(OR($B$2="APM Level 7",$B$2="R&amp;T Level 7"),F8&lt;&gt;""),$C8*Thresholds_Rates!$F$16,IF(SUMIF(Grades!$A:$A,$B$2,Grades!$BP:$BP)=1,$C8*Thresholds_Rates!$F$16,"")))))))</f>
        <v/>
      </c>
      <c r="H8" s="81" t="str">
        <f ca="1">IF($B$2="Apprenticeship","-",IF(B8="","",IF(SUMIF(Grades!$A:$A,$B$2,Grades!$BQ:$BQ)=0,"-",IF(AND($B$2="Salary Points 3 to 57",B8&gt;Thresholds_Rates!$C$17),"-",IF(AND($B$2="Salary Points 3 to 57",B8&lt;=Thresholds_Rates!$C$17),$C8*Thresholds_Rates!$F$17,IF(AND(OR($B$2="New Consultant Contract"),$B8&lt;&gt;""),$C8*Thresholds_Rates!$F$17,IF(AND(OR($B$2="Clinical Lecturer / Medical Research Fellow",$B$2="Clinical Consultant - Old Contract (GP)"),$B8&lt;&gt;""),$C8*Thresholds_Rates!$F$17,IF(AND(OR($B$2="APM Level 7",$B$2="R&amp;T Level 7"),G8&lt;&gt;""),$C8*Thresholds_Rates!$F$17,IF(SUMIF(Grades!$A:$A,$B$2,Grades!$BQ:$BQ)=1,$C8*Thresholds_Rates!$F$17,"")))))))))</f>
        <v/>
      </c>
      <c r="I8" s="81" t="str">
        <f ca="1">IF($B8="","",ROUND(($C8-(Thresholds_Rates!$C$5*12))*Thresholds_Rates!$C$10,0))</f>
        <v/>
      </c>
      <c r="J8" s="81" t="str">
        <f ca="1">IF(B8="","",(C8*Thresholds_Rates!$C$12))</f>
        <v/>
      </c>
      <c r="K8" s="81" t="str">
        <f ca="1">IF(B8="","",IF(AND($B$2="Salary Points 3 to 57",B8&gt;Thresholds_Rates!$C$17),"-",IF(SUMIF(Grades!$A:$A,$B$2,Grades!$BR:$BR)=0,"-",IF(AND($B$2="Salary Points 3 to 57",B8&lt;=Thresholds_Rates!$C$17),$C8*Thresholds_Rates!$F$18,IF(AND(OR($B$2="New Consultant Contract"),$B8&lt;&gt;""),$C8*Thresholds_Rates!$F$18,IF(AND(OR($B$2="Clinical Lecturer / Medical Research Fellow",$B$2="Clinical Consultant - Old Contract (GP)"),$B8&lt;&gt;""),$C8*Thresholds_Rates!$F$18,IF(AND(OR($B$2="APM Level 7",$B$2="R&amp;T Level 7"),I8&lt;&gt;""),$C8*Thresholds_Rates!$F$18,IF(SUMIF(Grades!$A:$A,$B$2,Grades!$BQ:$BQ)=1,$C8*Thresholds_Rates!$F$18,""))))))))</f>
        <v/>
      </c>
      <c r="L8" s="68"/>
      <c r="M8" s="81" t="str">
        <f t="shared" ca="1" si="0"/>
        <v/>
      </c>
      <c r="N8" s="81" t="str">
        <f t="shared" ca="1" si="1"/>
        <v/>
      </c>
      <c r="O8" s="81" t="str">
        <f t="shared" ca="1" si="2"/>
        <v/>
      </c>
      <c r="P8" s="81" t="str">
        <f t="shared" ca="1" si="3"/>
        <v/>
      </c>
      <c r="Q8" s="81" t="str">
        <f t="shared" ca="1" si="4"/>
        <v/>
      </c>
      <c r="R8" s="68"/>
      <c r="S8" s="83" t="str">
        <f ca="1">IF(B8="","",IF($B$2="R&amp;T Level 5 - Clinical Lecturers (Vet School)",SUMIF('Points Lookup'!$V:$V,$B8,'Points Lookup'!$W:$W),IF($B$2="R&amp;T Level 6 - Clinical Associate Professors and Clinical Readers (Vet School)",SUMIF('Points Lookup'!$AC:$AC,$B8,'Points Lookup'!$AD:$AD),"")))</f>
        <v/>
      </c>
      <c r="T8" s="84" t="str">
        <f ca="1">IF(B8="","",IF($B$2="R&amp;T Level 5 - Clinical Lecturers (Vet School)",$C8-SUMIF('Points Lookup'!$V:$V,$B8,'Points Lookup'!$X:$X),IF($B$2="R&amp;T Level 6 - Clinical Associate Professors and Clinical Readers (Vet School)",$C8-SUMIF('Points Lookup'!$AC:$AC,$B8,'Points Lookup'!$AE:$AE),"")))</f>
        <v/>
      </c>
      <c r="U8" s="83" t="str">
        <f ca="1">IF(B8="","",IF($B$2="R&amp;T Level 5 - Clinical Lecturers (Vet School)",SUMIF('Points Lookup'!$V:$V,$B8,'Points Lookup'!$Z:$Z),IF($B$2="R&amp;T Level 6 - Clinical Associate Professors and Clinical Readers (Vet School)",SUMIF('Points Lookup'!$AC:$AC,$B8,'Points Lookup'!$AG:$AG),"")))</f>
        <v/>
      </c>
      <c r="V8" s="84" t="str">
        <f t="shared" ca="1" si="5"/>
        <v/>
      </c>
      <c r="X8" s="39"/>
      <c r="AA8" s="39">
        <v>2</v>
      </c>
    </row>
    <row r="9" spans="2:41" x14ac:dyDescent="0.25">
      <c r="B9" s="68" t="str">
        <f ca="1">IFERROR(INDEX('Points Lookup'!$A:$A,MATCH($AA9,'Points Lookup'!$AN:$AN,0)),"")</f>
        <v/>
      </c>
      <c r="C9" s="81" t="str">
        <f ca="1">IF(B9="","",IF($B$2="Apprenticeship",SUMIF('Points Lookup'!$AJ:$AJ,B9,'Points Lookup'!$AL:$AL),IF(AND(OR($B$2="New Consultant Contract"),$B9&lt;&gt;""),INDEX('Points Lookup'!$T:$T,MATCH($B9,'Points Lookup'!$S:$S,0)),IF(AND(OR($B$2="Clinical Lecturer / Medical Research Fellow",$B$2="Clinical Consultant - Old Contract (GP)"),$B9&lt;&gt;""),INDEX('Points Lookup'!$Q:$Q,MATCH($B9,'Points Lookup'!$P:$P,0)),IF(AND(OR($B$2="APM Level 7",$B$2="R&amp;T Level 7",$B$2="APM Level 8",$B$2="Technical Services Level 7"),B9&lt;&gt;""),INDEX('Points Lookup'!$H:$H,MATCH($AA9,'Points Lookup'!$AN:$AN,0)),IF($B$2="R&amp;T Level 5 - Clinical Lecturers (Vet School)",SUMIF('Points Lookup'!$V:$V,$B9,'Points Lookup'!$Y:$Y),IF($B$2="R&amp;T Level 6 - Clinical Associate Professors and Clinical Readers (Vet School)",SUMIF('Points Lookup'!$AC:$AC,$B9,'Points Lookup'!$AF:$AF),IF($B$2="CLDOCIT (Clinical Academic Doctors in Training",SUMIF('Points Lookup'!$M:$M,$B9,'Points Lookup'!$N:$N),IFERROR(INDEX('Points Lookup'!$B:$B,MATCH($AA9,'Points Lookup'!$AN:$AN,0)),"")))))))))</f>
        <v/>
      </c>
      <c r="D9" s="82" t="str">
        <f ca="1">IF(B9="","",IF(AND($B$3="Y",B9&lt;7),VLOOKUP($B9,Thresholds_Rates!$I$15:$J$18,2,FALSE),"-"))</f>
        <v/>
      </c>
      <c r="E9" s="82"/>
      <c r="F9" s="81" t="str">
        <f ca="1">IF($B9="","",IF(AND($B$2="Salary Points 3 to 57",B9&lt;Thresholds_Rates!$C$16),"-",IF(SUMIF(Grades!$A:$A,$B$2,Grades!$BO:$BO)=0,"-",IF(AND($B$2="Salary Points 3 to 57",B9&gt;=Thresholds_Rates!$C$16),$C9*Thresholds_Rates!$F$15,IF(AND(OR($B$2="New Consultant Contract"),$B9&lt;&gt;""),$C9*Thresholds_Rates!$F$15,IF(AND(OR($B$2="Clinical Lecturer / Medical Research Fellow",$B$2="Clinical Consultant - Old Contract (GP)"),$B9&lt;&gt;""),$C9*Thresholds_Rates!$F$15,IF(OR($B$2="APM Level 7",$B$2="R&amp;T Level 7"),$C9*Thresholds_Rates!$F$15,IF(SUMIF(Grades!$A:$A,$B$2,Grades!$BO:$BO)=1,$C9*Thresholds_Rates!$F$15,""))))))))</f>
        <v/>
      </c>
      <c r="G9" s="81" t="str">
        <f ca="1">IF(B9="","",IF($B$2="Salary Points 3 to 57","-",IF(SUMIF(Grades!$A:$A,$B$2,Grades!$BP:$BP)=0,"-",IF(AND(OR($B$2="New Consultant Contract"),$B9&lt;&gt;""),$C9*Thresholds_Rates!$F$16,IF(AND(OR($B$2="Clinical Lecturer / Medical Research Fellow",$B$2="Clinical Consultant - Old Contract (GP)"),$B9&lt;&gt;""),$C9*Thresholds_Rates!$F$16,IF(AND(OR($B$2="APM Level 7",$B$2="R&amp;T Level 7"),F9&lt;&gt;""),$C9*Thresholds_Rates!$F$16,IF(SUMIF(Grades!$A:$A,$B$2,Grades!$BP:$BP)=1,$C9*Thresholds_Rates!$F$16,"")))))))</f>
        <v/>
      </c>
      <c r="H9" s="81" t="str">
        <f ca="1">IF($B$2="Apprenticeship","-",IF(B9="","",IF(SUMIF(Grades!$A:$A,$B$2,Grades!$BQ:$BQ)=0,"-",IF(AND($B$2="Salary Points 3 to 57",B9&gt;Thresholds_Rates!$C$17),"-",IF(AND($B$2="Salary Points 3 to 57",B9&lt;=Thresholds_Rates!$C$17),$C9*Thresholds_Rates!$F$17,IF(AND(OR($B$2="New Consultant Contract"),$B9&lt;&gt;""),$C9*Thresholds_Rates!$F$17,IF(AND(OR($B$2="Clinical Lecturer / Medical Research Fellow",$B$2="Clinical Consultant - Old Contract (GP)"),$B9&lt;&gt;""),$C9*Thresholds_Rates!$F$17,IF(AND(OR($B$2="APM Level 7",$B$2="R&amp;T Level 7"),G9&lt;&gt;""),$C9*Thresholds_Rates!$F$17,IF(SUMIF(Grades!$A:$A,$B$2,Grades!$BQ:$BQ)=1,$C9*Thresholds_Rates!$F$17,"")))))))))</f>
        <v/>
      </c>
      <c r="I9" s="81" t="str">
        <f ca="1">IF($B9="","",ROUND(($C9-(Thresholds_Rates!$C$5*12))*Thresholds_Rates!$C$10,0))</f>
        <v/>
      </c>
      <c r="J9" s="81" t="str">
        <f ca="1">IF(B9="","",(C9*Thresholds_Rates!$C$12))</f>
        <v/>
      </c>
      <c r="K9" s="81" t="str">
        <f ca="1">IF(B9="","",IF(AND($B$2="Salary Points 3 to 57",B9&gt;Thresholds_Rates!$C$17),"-",IF(SUMIF(Grades!$A:$A,$B$2,Grades!$BR:$BR)=0,"-",IF(AND($B$2="Salary Points 3 to 57",B9&lt;=Thresholds_Rates!$C$17),$C9*Thresholds_Rates!$F$18,IF(AND(OR($B$2="New Consultant Contract"),$B9&lt;&gt;""),$C9*Thresholds_Rates!$F$18,IF(AND(OR($B$2="Clinical Lecturer / Medical Research Fellow",$B$2="Clinical Consultant - Old Contract (GP)"),$B9&lt;&gt;""),$C9*Thresholds_Rates!$F$18,IF(AND(OR($B$2="APM Level 7",$B$2="R&amp;T Level 7"),I9&lt;&gt;""),$C9*Thresholds_Rates!$F$18,IF(SUMIF(Grades!$A:$A,$B$2,Grades!$BQ:$BQ)=1,$C9*Thresholds_Rates!$F$18,""))))))))</f>
        <v/>
      </c>
      <c r="L9" s="68"/>
      <c r="M9" s="81" t="str">
        <f t="shared" ca="1" si="0"/>
        <v/>
      </c>
      <c r="N9" s="81" t="str">
        <f t="shared" ca="1" si="1"/>
        <v/>
      </c>
      <c r="O9" s="81" t="str">
        <f t="shared" ca="1" si="2"/>
        <v/>
      </c>
      <c r="P9" s="81" t="str">
        <f t="shared" ca="1" si="3"/>
        <v/>
      </c>
      <c r="Q9" s="81" t="str">
        <f t="shared" ca="1" si="4"/>
        <v/>
      </c>
      <c r="S9" s="83" t="str">
        <f ca="1">IF(B9="","",IF($B$2="R&amp;T Level 5 - Clinical Lecturers (Vet School)",SUMIF('Points Lookup'!$V:$V,$B9,'Points Lookup'!$W:$W),IF($B$2="R&amp;T Level 6 - Clinical Associate Professors and Clinical Readers (Vet School)",SUMIF('Points Lookup'!$AC:$AC,$B9,'Points Lookup'!$AD:$AD),"")))</f>
        <v/>
      </c>
      <c r="T9" s="84" t="str">
        <f ca="1">IF(B9="","",IF($B$2="R&amp;T Level 5 - Clinical Lecturers (Vet School)",$C9-SUMIF('Points Lookup'!$V:$V,$B9,'Points Lookup'!$X:$X),IF($B$2="R&amp;T Level 6 - Clinical Associate Professors and Clinical Readers (Vet School)",$C9-SUMIF('Points Lookup'!$AC:$AC,$B9,'Points Lookup'!$AE:$AE),"")))</f>
        <v/>
      </c>
      <c r="U9" s="83" t="str">
        <f ca="1">IF(B9="","",IF($B$2="R&amp;T Level 5 - Clinical Lecturers (Vet School)",SUMIF('Points Lookup'!$V:$V,$B9,'Points Lookup'!$Z:$Z),IF($B$2="R&amp;T Level 6 - Clinical Associate Professors and Clinical Readers (Vet School)",SUMIF('Points Lookup'!$AC:$AC,$B9,'Points Lookup'!$AG:$AG),"")))</f>
        <v/>
      </c>
      <c r="V9" s="84" t="str">
        <f t="shared" ca="1" si="5"/>
        <v/>
      </c>
      <c r="X9" s="39"/>
      <c r="AA9" s="39">
        <v>3</v>
      </c>
    </row>
    <row r="10" spans="2:41" x14ac:dyDescent="0.25">
      <c r="B10" s="68" t="str">
        <f ca="1">IFERROR(INDEX('Points Lookup'!$A:$A,MATCH($AA10,'Points Lookup'!$AN:$AN,0)),"")</f>
        <v/>
      </c>
      <c r="C10" s="81" t="str">
        <f ca="1">IF(B10="","",IF($B$2="Apprenticeship",SUMIF('Points Lookup'!$AJ:$AJ,B10,'Points Lookup'!$AL:$AL),IF(AND(OR($B$2="New Consultant Contract"),$B10&lt;&gt;""),INDEX('Points Lookup'!$T:$T,MATCH($B10,'Points Lookup'!$S:$S,0)),IF(AND(OR($B$2="Clinical Lecturer / Medical Research Fellow",$B$2="Clinical Consultant - Old Contract (GP)"),$B10&lt;&gt;""),INDEX('Points Lookup'!$Q:$Q,MATCH($B10,'Points Lookup'!$P:$P,0)),IF(AND(OR($B$2="APM Level 7",$B$2="R&amp;T Level 7",$B$2="APM Level 8",$B$2="Technical Services Level 7"),B10&lt;&gt;""),INDEX('Points Lookup'!$H:$H,MATCH($AA10,'Points Lookup'!$AN:$AN,0)),IF($B$2="R&amp;T Level 5 - Clinical Lecturers (Vet School)",SUMIF('Points Lookup'!$V:$V,$B10,'Points Lookup'!$Y:$Y),IF($B$2="R&amp;T Level 6 - Clinical Associate Professors and Clinical Readers (Vet School)",SUMIF('Points Lookup'!$AC:$AC,$B10,'Points Lookup'!$AF:$AF),IF($B$2="CLDOCIT (Clinical Academic Doctors in Training",SUMIF('Points Lookup'!$M:$M,$B10,'Points Lookup'!$N:$N),IFERROR(INDEX('Points Lookup'!$B:$B,MATCH($AA10,'Points Lookup'!$AN:$AN,0)),"")))))))))</f>
        <v/>
      </c>
      <c r="D10" s="82" t="str">
        <f ca="1">IF(B10="","",IF(AND($B$3="Y",B10&lt;7),VLOOKUP($B10,Thresholds_Rates!$I$15:$J$18,2,FALSE),"-"))</f>
        <v/>
      </c>
      <c r="E10" s="82"/>
      <c r="F10" s="81" t="str">
        <f ca="1">IF($B10="","",IF(AND($B$2="Salary Points 3 to 57",B10&lt;Thresholds_Rates!$C$16),"-",IF(SUMIF(Grades!$A:$A,$B$2,Grades!$BO:$BO)=0,"-",IF(AND($B$2="Salary Points 3 to 57",B10&gt;=Thresholds_Rates!$C$16),$C10*Thresholds_Rates!$F$15,IF(AND(OR($B$2="New Consultant Contract"),$B10&lt;&gt;""),$C10*Thresholds_Rates!$F$15,IF(AND(OR($B$2="Clinical Lecturer / Medical Research Fellow",$B$2="Clinical Consultant - Old Contract (GP)"),$B10&lt;&gt;""),$C10*Thresholds_Rates!$F$15,IF(OR($B$2="APM Level 7",$B$2="R&amp;T Level 7"),$C10*Thresholds_Rates!$F$15,IF(SUMIF(Grades!$A:$A,$B$2,Grades!$BO:$BO)=1,$C10*Thresholds_Rates!$F$15,""))))))))</f>
        <v/>
      </c>
      <c r="G10" s="81" t="str">
        <f ca="1">IF(B10="","",IF($B$2="Salary Points 3 to 57","-",IF(SUMIF(Grades!$A:$A,$B$2,Grades!$BP:$BP)=0,"-",IF(AND(OR($B$2="New Consultant Contract"),$B10&lt;&gt;""),$C10*Thresholds_Rates!$F$16,IF(AND(OR($B$2="Clinical Lecturer / Medical Research Fellow",$B$2="Clinical Consultant - Old Contract (GP)"),$B10&lt;&gt;""),$C10*Thresholds_Rates!$F$16,IF(AND(OR($B$2="APM Level 7",$B$2="R&amp;T Level 7"),F10&lt;&gt;""),$C10*Thresholds_Rates!$F$16,IF(SUMIF(Grades!$A:$A,$B$2,Grades!$BP:$BP)=1,$C10*Thresholds_Rates!$F$16,"")))))))</f>
        <v/>
      </c>
      <c r="H10" s="81" t="str">
        <f ca="1">IF($B$2="Apprenticeship","-",IF(B10="","",IF(SUMIF(Grades!$A:$A,$B$2,Grades!$BQ:$BQ)=0,"-",IF(AND($B$2="Salary Points 3 to 57",B10&gt;Thresholds_Rates!$C$17),"-",IF(AND($B$2="Salary Points 3 to 57",B10&lt;=Thresholds_Rates!$C$17),$C10*Thresholds_Rates!$F$17,IF(AND(OR($B$2="New Consultant Contract"),$B10&lt;&gt;""),$C10*Thresholds_Rates!$F$17,IF(AND(OR($B$2="Clinical Lecturer / Medical Research Fellow",$B$2="Clinical Consultant - Old Contract (GP)"),$B10&lt;&gt;""),$C10*Thresholds_Rates!$F$17,IF(AND(OR($B$2="APM Level 7",$B$2="R&amp;T Level 7"),G10&lt;&gt;""),$C10*Thresholds_Rates!$F$17,IF(SUMIF(Grades!$A:$A,$B$2,Grades!$BQ:$BQ)=1,$C10*Thresholds_Rates!$F$17,"")))))))))</f>
        <v/>
      </c>
      <c r="I10" s="81" t="str">
        <f ca="1">IF($B10="","",ROUND(($C10-(Thresholds_Rates!$C$5*12))*Thresholds_Rates!$C$10,0))</f>
        <v/>
      </c>
      <c r="J10" s="81" t="str">
        <f ca="1">IF(B10="","",(C10*Thresholds_Rates!$C$12))</f>
        <v/>
      </c>
      <c r="K10" s="81" t="str">
        <f ca="1">IF(B10="","",IF(AND($B$2="Salary Points 3 to 57",B10&gt;Thresholds_Rates!$C$17),"-",IF(SUMIF(Grades!$A:$A,$B$2,Grades!$BR:$BR)=0,"-",IF(AND($B$2="Salary Points 3 to 57",B10&lt;=Thresholds_Rates!$C$17),$C10*Thresholds_Rates!$F$18,IF(AND(OR($B$2="New Consultant Contract"),$B10&lt;&gt;""),$C10*Thresholds_Rates!$F$18,IF(AND(OR($B$2="Clinical Lecturer / Medical Research Fellow",$B$2="Clinical Consultant - Old Contract (GP)"),$B10&lt;&gt;""),$C10*Thresholds_Rates!$F$18,IF(AND(OR($B$2="APM Level 7",$B$2="R&amp;T Level 7"),I10&lt;&gt;""),$C10*Thresholds_Rates!$F$18,IF(SUMIF(Grades!$A:$A,$B$2,Grades!$BQ:$BQ)=1,$C10*Thresholds_Rates!$F$18,""))))))))</f>
        <v/>
      </c>
      <c r="L10" s="68"/>
      <c r="M10" s="81" t="str">
        <f t="shared" ca="1" si="0"/>
        <v/>
      </c>
      <c r="N10" s="81" t="str">
        <f t="shared" ca="1" si="1"/>
        <v/>
      </c>
      <c r="O10" s="81" t="str">
        <f t="shared" ca="1" si="2"/>
        <v/>
      </c>
      <c r="P10" s="81" t="str">
        <f t="shared" ca="1" si="3"/>
        <v/>
      </c>
      <c r="Q10" s="81" t="str">
        <f t="shared" ca="1" si="4"/>
        <v/>
      </c>
      <c r="S10" s="83" t="str">
        <f ca="1">IF(B10="","",IF($B$2="R&amp;T Level 5 - Clinical Lecturers (Vet School)",SUMIF('Points Lookup'!$V:$V,$B10,'Points Lookup'!$W:$W),IF($B$2="R&amp;T Level 6 - Clinical Associate Professors and Clinical Readers (Vet School)",SUMIF('Points Lookup'!$AC:$AC,$B10,'Points Lookup'!$AD:$AD),"")))</f>
        <v/>
      </c>
      <c r="T10" s="84" t="str">
        <f ca="1">IF(B10="","",IF($B$2="R&amp;T Level 5 - Clinical Lecturers (Vet School)",$C10-SUMIF('Points Lookup'!$V:$V,$B10,'Points Lookup'!$X:$X),IF($B$2="R&amp;T Level 6 - Clinical Associate Professors and Clinical Readers (Vet School)",$C10-SUMIF('Points Lookup'!$AC:$AC,$B10,'Points Lookup'!$AE:$AE),"")))</f>
        <v/>
      </c>
      <c r="U10" s="83" t="str">
        <f ca="1">IF(B10="","",IF($B$2="R&amp;T Level 5 - Clinical Lecturers (Vet School)",SUMIF('Points Lookup'!$V:$V,$B10,'Points Lookup'!$Z:$Z),IF($B$2="R&amp;T Level 6 - Clinical Associate Professors and Clinical Readers (Vet School)",SUMIF('Points Lookup'!$AC:$AC,$B10,'Points Lookup'!$AG:$AG),"")))</f>
        <v/>
      </c>
      <c r="V10" s="84" t="str">
        <f t="shared" ca="1" si="5"/>
        <v/>
      </c>
      <c r="X10" s="39"/>
      <c r="AA10" s="39">
        <v>4</v>
      </c>
    </row>
    <row r="11" spans="2:41" x14ac:dyDescent="0.25">
      <c r="B11" s="68" t="str">
        <f ca="1">IFERROR(INDEX('Points Lookup'!$A:$A,MATCH($AA11,'Points Lookup'!$AN:$AN,0)),"")</f>
        <v/>
      </c>
      <c r="C11" s="81" t="str">
        <f ca="1">IF(B11="","",IF($B$2="Apprenticeship",SUMIF('Points Lookup'!$AJ:$AJ,B11,'Points Lookup'!$AL:$AL),IF(AND(OR($B$2="New Consultant Contract"),$B11&lt;&gt;""),INDEX('Points Lookup'!$T:$T,MATCH($B11,'Points Lookup'!$S:$S,0)),IF(AND(OR($B$2="Clinical Lecturer / Medical Research Fellow",$B$2="Clinical Consultant - Old Contract (GP)"),$B11&lt;&gt;""),INDEX('Points Lookup'!$Q:$Q,MATCH($B11,'Points Lookup'!$P:$P,0)),IF(AND(OR($B$2="APM Level 7",$B$2="R&amp;T Level 7",$B$2="APM Level 8",$B$2="Technical Services Level 7"),B11&lt;&gt;""),INDEX('Points Lookup'!$H:$H,MATCH($AA11,'Points Lookup'!$AN:$AN,0)),IF($B$2="R&amp;T Level 5 - Clinical Lecturers (Vet School)",SUMIF('Points Lookup'!$V:$V,$B11,'Points Lookup'!$Y:$Y),IF($B$2="R&amp;T Level 6 - Clinical Associate Professors and Clinical Readers (Vet School)",SUMIF('Points Lookup'!$AC:$AC,$B11,'Points Lookup'!$AF:$AF),IF($B$2="CLDOCIT (Clinical Academic Doctors in Training",SUMIF('Points Lookup'!$M:$M,$B11,'Points Lookup'!$N:$N),IFERROR(INDEX('Points Lookup'!$B:$B,MATCH($AA11,'Points Lookup'!$AN:$AN,0)),"")))))))))</f>
        <v/>
      </c>
      <c r="D11" s="82" t="str">
        <f ca="1">IF(B11="","",IF(AND($B$3="Y",B11&lt;7),VLOOKUP($B11,Thresholds_Rates!$I$15:$J$18,2,FALSE),"-"))</f>
        <v/>
      </c>
      <c r="E11" s="81"/>
      <c r="F11" s="81" t="str">
        <f ca="1">IF($B11="","",IF(AND($B$2="Salary Points 3 to 57",B11&lt;Thresholds_Rates!$C$16),"-",IF(SUMIF(Grades!$A:$A,$B$2,Grades!$BO:$BO)=0,"-",IF(AND($B$2="Salary Points 3 to 57",B11&gt;=Thresholds_Rates!$C$16),$C11*Thresholds_Rates!$F$15,IF(AND(OR($B$2="New Consultant Contract"),$B11&lt;&gt;""),$C11*Thresholds_Rates!$F$15,IF(AND(OR($B$2="Clinical Lecturer / Medical Research Fellow",$B$2="Clinical Consultant - Old Contract (GP)"),$B11&lt;&gt;""),$C11*Thresholds_Rates!$F$15,IF(OR($B$2="APM Level 7",$B$2="R&amp;T Level 7"),$C11*Thresholds_Rates!$F$15,IF(SUMIF(Grades!$A:$A,$B$2,Grades!$BO:$BO)=1,$C11*Thresholds_Rates!$F$15,""))))))))</f>
        <v/>
      </c>
      <c r="G11" s="81" t="str">
        <f ca="1">IF(B11="","",IF($B$2="Salary Points 3 to 57","-",IF(SUMIF(Grades!$A:$A,$B$2,Grades!$BP:$BP)=0,"-",IF(AND(OR($B$2="New Consultant Contract"),$B11&lt;&gt;""),$C11*Thresholds_Rates!$F$16,IF(AND(OR($B$2="Clinical Lecturer / Medical Research Fellow",$B$2="Clinical Consultant - Old Contract (GP)"),$B11&lt;&gt;""),$C11*Thresholds_Rates!$F$16,IF(AND(OR($B$2="APM Level 7",$B$2="R&amp;T Level 7"),F11&lt;&gt;""),$C11*Thresholds_Rates!$F$16,IF(SUMIF(Grades!$A:$A,$B$2,Grades!$BP:$BP)=1,$C11*Thresholds_Rates!$F$16,"")))))))</f>
        <v/>
      </c>
      <c r="H11" s="81" t="str">
        <f ca="1">IF($B$2="Apprenticeship","-",IF(B11="","",IF(SUMIF(Grades!$A:$A,$B$2,Grades!$BQ:$BQ)=0,"-",IF(AND($B$2="Salary Points 3 to 57",B11&gt;Thresholds_Rates!$C$17),"-",IF(AND($B$2="Salary Points 3 to 57",B11&lt;=Thresholds_Rates!$C$17),$C11*Thresholds_Rates!$F$17,IF(AND(OR($B$2="New Consultant Contract"),$B11&lt;&gt;""),$C11*Thresholds_Rates!$F$17,IF(AND(OR($B$2="Clinical Lecturer / Medical Research Fellow",$B$2="Clinical Consultant - Old Contract (GP)"),$B11&lt;&gt;""),$C11*Thresholds_Rates!$F$17,IF(AND(OR($B$2="APM Level 7",$B$2="R&amp;T Level 7"),G11&lt;&gt;""),$C11*Thresholds_Rates!$F$17,IF(SUMIF(Grades!$A:$A,$B$2,Grades!$BQ:$BQ)=1,$C11*Thresholds_Rates!$F$17,"")))))))))</f>
        <v/>
      </c>
      <c r="I11" s="81" t="str">
        <f ca="1">IF($B11="","",ROUND(($C11-(Thresholds_Rates!$C$5*12))*Thresholds_Rates!$C$10,0))</f>
        <v/>
      </c>
      <c r="J11" s="81" t="str">
        <f ca="1">IF(B11="","",(C11*Thresholds_Rates!$C$12))</f>
        <v/>
      </c>
      <c r="K11" s="81" t="str">
        <f ca="1">IF(B11="","",IF(AND($B$2="Salary Points 3 to 57",B11&gt;Thresholds_Rates!$C$17),"-",IF(SUMIF(Grades!$A:$A,$B$2,Grades!$BR:$BR)=0,"-",IF(AND($B$2="Salary Points 3 to 57",B11&lt;=Thresholds_Rates!$C$17),$C11*Thresholds_Rates!$F$18,IF(AND(OR($B$2="New Consultant Contract"),$B11&lt;&gt;""),$C11*Thresholds_Rates!$F$18,IF(AND(OR($B$2="Clinical Lecturer / Medical Research Fellow",$B$2="Clinical Consultant - Old Contract (GP)"),$B11&lt;&gt;""),$C11*Thresholds_Rates!$F$18,IF(AND(OR($B$2="APM Level 7",$B$2="R&amp;T Level 7"),I11&lt;&gt;""),$C11*Thresholds_Rates!$F$18,IF(SUMIF(Grades!$A:$A,$B$2,Grades!$BQ:$BQ)=1,$C11*Thresholds_Rates!$F$18,""))))))))</f>
        <v/>
      </c>
      <c r="L11" s="68"/>
      <c r="M11" s="81" t="str">
        <f t="shared" ca="1" si="0"/>
        <v/>
      </c>
      <c r="N11" s="81" t="str">
        <f t="shared" ca="1" si="1"/>
        <v/>
      </c>
      <c r="O11" s="81" t="str">
        <f t="shared" ca="1" si="2"/>
        <v/>
      </c>
      <c r="P11" s="81" t="str">
        <f t="shared" ca="1" si="3"/>
        <v/>
      </c>
      <c r="Q11" s="81" t="str">
        <f t="shared" ca="1" si="4"/>
        <v/>
      </c>
      <c r="S11" s="83" t="str">
        <f ca="1">IF(B11="","",IF($B$2="R&amp;T Level 5 - Clinical Lecturers (Vet School)",SUMIF('Points Lookup'!$V:$V,$B11,'Points Lookup'!$W:$W),IF($B$2="R&amp;T Level 6 - Clinical Associate Professors and Clinical Readers (Vet School)",SUMIF('Points Lookup'!$AC:$AC,$B11,'Points Lookup'!$AD:$AD),"")))</f>
        <v/>
      </c>
      <c r="T11" s="84" t="str">
        <f ca="1">IF(B11="","",IF($B$2="R&amp;T Level 5 - Clinical Lecturers (Vet School)",$C11-SUMIF('Points Lookup'!$V:$V,$B11,'Points Lookup'!$X:$X),IF($B$2="R&amp;T Level 6 - Clinical Associate Professors and Clinical Readers (Vet School)",$C11-SUMIF('Points Lookup'!$AC:$AC,$B11,'Points Lookup'!$AE:$AE),"")))</f>
        <v/>
      </c>
      <c r="U11" s="83" t="str">
        <f ca="1">IF(B11="","",IF($B$2="R&amp;T Level 5 - Clinical Lecturers (Vet School)",SUMIF('Points Lookup'!$V:$V,$B11,'Points Lookup'!$Z:$Z),IF($B$2="R&amp;T Level 6 - Clinical Associate Professors and Clinical Readers (Vet School)",SUMIF('Points Lookup'!$AC:$AC,$B11,'Points Lookup'!$AG:$AG),"")))</f>
        <v/>
      </c>
      <c r="V11" s="84" t="str">
        <f t="shared" ca="1" si="5"/>
        <v/>
      </c>
      <c r="X11" s="39"/>
      <c r="AA11" s="39">
        <v>5</v>
      </c>
    </row>
    <row r="12" spans="2:41" x14ac:dyDescent="0.25">
      <c r="B12" s="68" t="str">
        <f ca="1">IFERROR(INDEX('Points Lookup'!$A:$A,MATCH($AA12,'Points Lookup'!$AN:$AN,0)),"")</f>
        <v/>
      </c>
      <c r="C12" s="81" t="str">
        <f ca="1">IF(B12="","",IF($B$2="Apprenticeship",SUMIF('Points Lookup'!$AJ:$AJ,B12,'Points Lookup'!$AL:$AL),IF(AND(OR($B$2="New Consultant Contract"),$B12&lt;&gt;""),INDEX('Points Lookup'!$T:$T,MATCH($B12,'Points Lookup'!$S:$S,0)),IF(AND(OR($B$2="Clinical Lecturer / Medical Research Fellow",$B$2="Clinical Consultant - Old Contract (GP)"),$B12&lt;&gt;""),INDEX('Points Lookup'!$Q:$Q,MATCH($B12,'Points Lookup'!$P:$P,0)),IF(AND(OR($B$2="APM Level 7",$B$2="R&amp;T Level 7",$B$2="APM Level 8",$B$2="Technical Services Level 7"),B12&lt;&gt;""),INDEX('Points Lookup'!$H:$H,MATCH($AA12,'Points Lookup'!$AN:$AN,0)),IF($B$2="R&amp;T Level 5 - Clinical Lecturers (Vet School)",SUMIF('Points Lookup'!$V:$V,$B12,'Points Lookup'!$Y:$Y),IF($B$2="R&amp;T Level 6 - Clinical Associate Professors and Clinical Readers (Vet School)",SUMIF('Points Lookup'!$AC:$AC,$B12,'Points Lookup'!$AF:$AF),IFERROR(INDEX('Points Lookup'!$B:$B,MATCH($AA12,'Points Lookup'!$AN:$AN,0)),""))))))))</f>
        <v/>
      </c>
      <c r="D12" s="82" t="str">
        <f ca="1">IF(B12="","",IF(AND($B$3="Y",B12&lt;7),VLOOKUP($B12,Thresholds_Rates!$I$15:$J$18,2,FALSE),"-"))</f>
        <v/>
      </c>
      <c r="E12" s="81"/>
      <c r="F12" s="81" t="str">
        <f ca="1">IF($B12="","",IF(AND($B$2="Salary Points 3 to 57",B12&lt;Thresholds_Rates!$C$16),"-",IF(SUMIF(Grades!$A:$A,$B$2,Grades!$BO:$BO)=0,"-",IF(AND($B$2="Salary Points 3 to 57",B12&gt;=Thresholds_Rates!$C$16),$C12*Thresholds_Rates!$F$15,IF(AND(OR($B$2="New Consultant Contract"),$B12&lt;&gt;""),$C12*Thresholds_Rates!$F$15,IF(AND(OR($B$2="Clinical Lecturer / Medical Research Fellow",$B$2="Clinical Consultant - Old Contract (GP)"),$B12&lt;&gt;""),$C12*Thresholds_Rates!$F$15,IF(OR($B$2="APM Level 7",$B$2="R&amp;T Level 7"),$C12*Thresholds_Rates!$F$15,IF(SUMIF(Grades!$A:$A,$B$2,Grades!$BO:$BO)=1,$C12*Thresholds_Rates!$F$15,""))))))))</f>
        <v/>
      </c>
      <c r="G12" s="81" t="str">
        <f ca="1">IF(B12="","",IF($B$2="Salary Points 3 to 57","-",IF(SUMIF(Grades!$A:$A,$B$2,Grades!$BP:$BP)=0,"-",IF(AND(OR($B$2="New Consultant Contract"),$B12&lt;&gt;""),$C12*Thresholds_Rates!$F$16,IF(AND(OR($B$2="Clinical Lecturer / Medical Research Fellow",$B$2="Clinical Consultant - Old Contract (GP)"),$B12&lt;&gt;""),$C12*Thresholds_Rates!$F$16,IF(AND(OR($B$2="APM Level 7",$B$2="R&amp;T Level 7"),F12&lt;&gt;""),$C12*Thresholds_Rates!$F$16,IF(SUMIF(Grades!$A:$A,$B$2,Grades!$BP:$BP)=1,$C12*Thresholds_Rates!$F$16,"")))))))</f>
        <v/>
      </c>
      <c r="H12" s="81" t="str">
        <f ca="1">IF($B$2="Apprenticeship","-",IF(B12="","",IF(SUMIF(Grades!$A:$A,$B$2,Grades!$BQ:$BQ)=0,"-",IF(AND($B$2="Salary Points 3 to 57",B12&gt;Thresholds_Rates!$C$17),"-",IF(AND($B$2="Salary Points 3 to 57",B12&lt;=Thresholds_Rates!$C$17),$C12*Thresholds_Rates!$F$17,IF(AND(OR($B$2="New Consultant Contract"),$B12&lt;&gt;""),$C12*Thresholds_Rates!$F$17,IF(AND(OR($B$2="Clinical Lecturer / Medical Research Fellow",$B$2="Clinical Consultant - Old Contract (GP)"),$B12&lt;&gt;""),$C12*Thresholds_Rates!$F$17,IF(AND(OR($B$2="APM Level 7",$B$2="R&amp;T Level 7"),G12&lt;&gt;""),$C12*Thresholds_Rates!$F$17,IF(SUMIF(Grades!$A:$A,$B$2,Grades!$BQ:$BQ)=1,$C12*Thresholds_Rates!$F$17,"")))))))))</f>
        <v/>
      </c>
      <c r="I12" s="81" t="str">
        <f ca="1">IF($B12="","",ROUND(($C12-(Thresholds_Rates!$C$5*12))*Thresholds_Rates!$C$10,0))</f>
        <v/>
      </c>
      <c r="J12" s="81" t="str">
        <f ca="1">IF(B12="","",(C12*Thresholds_Rates!$C$12))</f>
        <v/>
      </c>
      <c r="K12" s="81" t="str">
        <f ca="1">IF(B12="","",IF(AND($B$2="Salary Points 3 to 57",B12&gt;Thresholds_Rates!$C$17),"-",IF(SUMIF(Grades!$A:$A,$B$2,Grades!$BR:$BR)=0,"-",IF(AND($B$2="Salary Points 3 to 57",B12&lt;=Thresholds_Rates!$C$17),$C12*Thresholds_Rates!$F$18,IF(AND(OR($B$2="New Consultant Contract"),$B12&lt;&gt;""),$C12*Thresholds_Rates!$F$18,IF(AND(OR($B$2="Clinical Lecturer / Medical Research Fellow",$B$2="Clinical Consultant - Old Contract (GP)"),$B12&lt;&gt;""),$C12*Thresholds_Rates!$F$18,IF(AND(OR($B$2="APM Level 7",$B$2="R&amp;T Level 7"),I12&lt;&gt;""),$C12*Thresholds_Rates!$F$18,IF(SUMIF(Grades!$A:$A,$B$2,Grades!$BQ:$BQ)=1,$C12*Thresholds_Rates!$F$18,""))))))))</f>
        <v/>
      </c>
      <c r="L12" s="68"/>
      <c r="M12" s="81" t="str">
        <f t="shared" ca="1" si="0"/>
        <v/>
      </c>
      <c r="N12" s="81" t="str">
        <f t="shared" ca="1" si="1"/>
        <v/>
      </c>
      <c r="O12" s="81" t="str">
        <f t="shared" ca="1" si="2"/>
        <v/>
      </c>
      <c r="P12" s="81" t="str">
        <f t="shared" ca="1" si="3"/>
        <v/>
      </c>
      <c r="Q12" s="81" t="str">
        <f t="shared" ca="1" si="4"/>
        <v/>
      </c>
      <c r="S12" s="83" t="str">
        <f ca="1">IF(B12="","",IF($B$2="R&amp;T Level 5 - Clinical Lecturers (Vet School)",SUMIF('Points Lookup'!$V:$V,$B12,'Points Lookup'!$W:$W),IF($B$2="R&amp;T Level 6 - Clinical Associate Professors and Clinical Readers (Vet School)",SUMIF('Points Lookup'!$AC:$AC,$B12,'Points Lookup'!$AD:$AD),"")))</f>
        <v/>
      </c>
      <c r="T12" s="84" t="str">
        <f ca="1">IF(B12="","",IF($B$2="R&amp;T Level 5 - Clinical Lecturers (Vet School)",$C12-SUMIF('Points Lookup'!$V:$V,$B12,'Points Lookup'!$X:$X),IF($B$2="R&amp;T Level 6 - Clinical Associate Professors and Clinical Readers (Vet School)",$C12-SUMIF('Points Lookup'!$AC:$AC,$B12,'Points Lookup'!$AE:$AE),"")))</f>
        <v/>
      </c>
      <c r="U12" s="83" t="str">
        <f ca="1">IF(B12="","",IF($B$2="R&amp;T Level 5 - Clinical Lecturers (Vet School)",SUMIF('Points Lookup'!$V:$V,$B12,'Points Lookup'!$Z:$Z),IF($B$2="R&amp;T Level 6 - Clinical Associate Professors and Clinical Readers (Vet School)",SUMIF('Points Lookup'!$AC:$AC,$B12,'Points Lookup'!$AG:$AG),"")))</f>
        <v/>
      </c>
      <c r="V12" s="84" t="str">
        <f t="shared" ca="1" si="5"/>
        <v/>
      </c>
      <c r="X12" s="39"/>
      <c r="AA12" s="39">
        <v>6</v>
      </c>
    </row>
    <row r="13" spans="2:41" x14ac:dyDescent="0.25">
      <c r="B13" s="68" t="str">
        <f ca="1">IFERROR(INDEX('Points Lookup'!$A:$A,MATCH($AA13,'Points Lookup'!$AN:$AN,0)),"")</f>
        <v/>
      </c>
      <c r="C13" s="81" t="str">
        <f ca="1">IF(B13="","",IF($B$2="Apprenticeship",SUMIF('Points Lookup'!$AJ:$AJ,B13,'Points Lookup'!$AL:$AL),IF(AND(OR($B$2="New Consultant Contract"),$B13&lt;&gt;""),INDEX('Points Lookup'!$T:$T,MATCH($B13,'Points Lookup'!$S:$S,0)),IF(AND(OR($B$2="Clinical Lecturer / Medical Research Fellow",$B$2="Clinical Consultant - Old Contract (GP)"),$B13&lt;&gt;""),INDEX('Points Lookup'!$Q:$Q,MATCH($B13,'Points Lookup'!$P:$P,0)),IF(AND(OR($B$2="APM Level 7",$B$2="R&amp;T Level 7",$B$2="APM Level 8",$B$2="Technical Services Level 7"),B13&lt;&gt;""),INDEX('Points Lookup'!$H:$H,MATCH($AA13,'Points Lookup'!$AN:$AN,0)),IF($B$2="R&amp;T Level 5 - Clinical Lecturers (Vet School)",SUMIF('Points Lookup'!$V:$V,$B13,'Points Lookup'!$Y:$Y),IF($B$2="R&amp;T Level 6 - Clinical Associate Professors and Clinical Readers (Vet School)",SUMIF('Points Lookup'!$AC:$AC,$B13,'Points Lookup'!$AF:$AF),IFERROR(INDEX('Points Lookup'!$B:$B,MATCH($AA13,'Points Lookup'!$AN:$AN,0)),""))))))))</f>
        <v/>
      </c>
      <c r="D13" s="82" t="str">
        <f ca="1">IF(B13="","",IF(AND($B$3="Y",B13&lt;7),VLOOKUP($B13,Thresholds_Rates!$I$15:$J$18,2,FALSE),"-"))</f>
        <v/>
      </c>
      <c r="E13" s="81"/>
      <c r="F13" s="81" t="str">
        <f ca="1">IF($B13="","",IF(AND($B$2="Salary Points 3 to 57",B13&lt;Thresholds_Rates!$C$16),"-",IF(SUMIF(Grades!$A:$A,$B$2,Grades!$BO:$BO)=0,"-",IF(AND($B$2="Salary Points 3 to 57",B13&gt;=Thresholds_Rates!$C$16),$C13*Thresholds_Rates!$F$15,IF(AND(OR($B$2="New Consultant Contract"),$B13&lt;&gt;""),$C13*Thresholds_Rates!$F$15,IF(AND(OR($B$2="Clinical Lecturer / Medical Research Fellow",$B$2="Clinical Consultant - Old Contract (GP)"),$B13&lt;&gt;""),$C13*Thresholds_Rates!$F$15,IF(OR($B$2="APM Level 7",$B$2="R&amp;T Level 7"),$C13*Thresholds_Rates!$F$15,IF(SUMIF(Grades!$A:$A,$B$2,Grades!$BO:$BO)=1,$C13*Thresholds_Rates!$F$15,""))))))))</f>
        <v/>
      </c>
      <c r="G13" s="81" t="str">
        <f ca="1">IF(B13="","",IF($B$2="Salary Points 3 to 57","-",IF(SUMIF(Grades!$A:$A,$B$2,Grades!$BP:$BP)=0,"-",IF(AND(OR($B$2="New Consultant Contract"),$B13&lt;&gt;""),$C13*Thresholds_Rates!$F$16,IF(AND(OR($B$2="Clinical Lecturer / Medical Research Fellow",$B$2="Clinical Consultant - Old Contract (GP)"),$B13&lt;&gt;""),$C13*Thresholds_Rates!$F$16,IF(AND(OR($B$2="APM Level 7",$B$2="R&amp;T Level 7"),F13&lt;&gt;""),$C13*Thresholds_Rates!$F$16,IF(SUMIF(Grades!$A:$A,$B$2,Grades!$BP:$BP)=1,$C13*Thresholds_Rates!$F$16,"")))))))</f>
        <v/>
      </c>
      <c r="H13" s="81" t="str">
        <f ca="1">IF($B$2="Apprenticeship","-",IF(B13="","",IF(SUMIF(Grades!$A:$A,$B$2,Grades!$BQ:$BQ)=0,"-",IF(AND($B$2="Salary Points 3 to 57",B13&gt;Thresholds_Rates!$C$17),"-",IF(AND($B$2="Salary Points 3 to 57",B13&lt;=Thresholds_Rates!$C$17),$C13*Thresholds_Rates!$F$17,IF(AND(OR($B$2="New Consultant Contract"),$B13&lt;&gt;""),$C13*Thresholds_Rates!$F$17,IF(AND(OR($B$2="Clinical Lecturer / Medical Research Fellow",$B$2="Clinical Consultant - Old Contract (GP)"),$B13&lt;&gt;""),$C13*Thresholds_Rates!$F$17,IF(AND(OR($B$2="APM Level 7",$B$2="R&amp;T Level 7"),G13&lt;&gt;""),$C13*Thresholds_Rates!$F$17,IF(SUMIF(Grades!$A:$A,$B$2,Grades!$BQ:$BQ)=1,$C13*Thresholds_Rates!$F$17,"")))))))))</f>
        <v/>
      </c>
      <c r="I13" s="81" t="str">
        <f ca="1">IF($B13="","",ROUND(($C13-(Thresholds_Rates!$C$5*12))*Thresholds_Rates!$C$10,0))</f>
        <v/>
      </c>
      <c r="J13" s="81" t="str">
        <f ca="1">IF(B13="","",(C13*Thresholds_Rates!$C$12))</f>
        <v/>
      </c>
      <c r="K13" s="81" t="str">
        <f ca="1">IF(B13="","",IF(AND($B$2="Salary Points 3 to 57",B13&gt;Thresholds_Rates!$C$17),"-",IF(SUMIF(Grades!$A:$A,$B$2,Grades!$BR:$BR)=0,"-",IF(AND($B$2="Salary Points 3 to 57",B13&lt;=Thresholds_Rates!$C$17),$C13*Thresholds_Rates!$F$18,IF(AND(OR($B$2="New Consultant Contract"),$B13&lt;&gt;""),$C13*Thresholds_Rates!$F$18,IF(AND(OR($B$2="Clinical Lecturer / Medical Research Fellow",$B$2="Clinical Consultant - Old Contract (GP)"),$B13&lt;&gt;""),$C13*Thresholds_Rates!$F$18,IF(AND(OR($B$2="APM Level 7",$B$2="R&amp;T Level 7"),I13&lt;&gt;""),$C13*Thresholds_Rates!$F$18,IF(SUMIF(Grades!$A:$A,$B$2,Grades!$BQ:$BQ)=1,$C13*Thresholds_Rates!$F$18,""))))))))</f>
        <v/>
      </c>
      <c r="L13" s="68"/>
      <c r="M13" s="81" t="str">
        <f t="shared" ca="1" si="0"/>
        <v/>
      </c>
      <c r="N13" s="81" t="str">
        <f t="shared" ca="1" si="1"/>
        <v/>
      </c>
      <c r="O13" s="81" t="str">
        <f t="shared" ca="1" si="2"/>
        <v/>
      </c>
      <c r="P13" s="81" t="str">
        <f t="shared" ca="1" si="3"/>
        <v/>
      </c>
      <c r="Q13" s="81" t="str">
        <f t="shared" ca="1" si="4"/>
        <v/>
      </c>
      <c r="S13" s="83" t="str">
        <f ca="1">IF(B13="","",IF($B$2="R&amp;T Level 5 - Clinical Lecturers (Vet School)",SUMIF('Points Lookup'!$V:$V,$B13,'Points Lookup'!$W:$W),IF($B$2="R&amp;T Level 6 - Clinical Associate Professors and Clinical Readers (Vet School)",SUMIF('Points Lookup'!$AC:$AC,$B13,'Points Lookup'!$AD:$AD),"")))</f>
        <v/>
      </c>
      <c r="T13" s="84" t="str">
        <f ca="1">IF(B13="","",IF($B$2="R&amp;T Level 5 - Clinical Lecturers (Vet School)",$C13-SUMIF('Points Lookup'!$V:$V,$B13,'Points Lookup'!$X:$X),IF($B$2="R&amp;T Level 6 - Clinical Associate Professors and Clinical Readers (Vet School)",$C13-SUMIF('Points Lookup'!$AC:$AC,$B13,'Points Lookup'!$AE:$AE),"")))</f>
        <v/>
      </c>
      <c r="U13" s="83" t="str">
        <f ca="1">IF(B13="","",IF($B$2="R&amp;T Level 5 - Clinical Lecturers (Vet School)",SUMIF('Points Lookup'!$V:$V,$B13,'Points Lookup'!$Z:$Z),IF($B$2="R&amp;T Level 6 - Clinical Associate Professors and Clinical Readers (Vet School)",SUMIF('Points Lookup'!$AC:$AC,$B13,'Points Lookup'!$AG:$AG),"")))</f>
        <v/>
      </c>
      <c r="V13" s="84" t="str">
        <f t="shared" ca="1" si="5"/>
        <v/>
      </c>
      <c r="X13" s="39"/>
      <c r="AA13" s="39">
        <v>7</v>
      </c>
    </row>
    <row r="14" spans="2:41" x14ac:dyDescent="0.25">
      <c r="B14" s="68" t="str">
        <f ca="1">IFERROR(INDEX('Points Lookup'!$A:$A,MATCH($AA14,'Points Lookup'!$AN:$AN,0)),"")</f>
        <v/>
      </c>
      <c r="C14" s="81" t="str">
        <f ca="1">IF(B14="","",IF($B$2="Apprenticeship",SUMIF('Points Lookup'!$AJ:$AJ,B14,'Points Lookup'!$AL:$AL),IF(AND(OR($B$2="New Consultant Contract"),$B14&lt;&gt;""),INDEX('Points Lookup'!$T:$T,MATCH($B14,'Points Lookup'!$S:$S,0)),IF(AND(OR($B$2="Clinical Lecturer / Medical Research Fellow",$B$2="Clinical Consultant - Old Contract (GP)"),$B14&lt;&gt;""),INDEX('Points Lookup'!$Q:$Q,MATCH($B14,'Points Lookup'!$P:$P,0)),IF(AND(OR($B$2="APM Level 7",$B$2="R&amp;T Level 7",$B$2="APM Level 8",$B$2="Technical Services Level 7"),B14&lt;&gt;""),INDEX('Points Lookup'!$H:$H,MATCH($AA14,'Points Lookup'!$AN:$AN,0)),IF($B$2="R&amp;T Level 5 - Clinical Lecturers (Vet School)",SUMIF('Points Lookup'!$V:$V,$B14,'Points Lookup'!$Y:$Y),IF($B$2="R&amp;T Level 6 - Clinical Associate Professors and Clinical Readers (Vet School)",SUMIF('Points Lookup'!$AC:$AC,$B14,'Points Lookup'!$AF:$AF),IFERROR(INDEX('Points Lookup'!$B:$B,MATCH($AA14,'Points Lookup'!$AN:$AN,0)),""))))))))</f>
        <v/>
      </c>
      <c r="D14" s="82" t="str">
        <f ca="1">IF(B14="","",IF(AND($B$3="Y",B14&lt;7),VLOOKUP($B14,Thresholds_Rates!$I$15:$J$18,2,FALSE),"-"))</f>
        <v/>
      </c>
      <c r="E14" s="81"/>
      <c r="F14" s="81" t="str">
        <f ca="1">IF($B14="","",IF(AND($B$2="Salary Points 3 to 57",B14&lt;Thresholds_Rates!$C$16),"-",IF(SUMIF(Grades!$A:$A,$B$2,Grades!$BO:$BO)=0,"-",IF(AND($B$2="Salary Points 3 to 57",B14&gt;=Thresholds_Rates!$C$16),$C14*Thresholds_Rates!$F$15,IF(AND(OR($B$2="New Consultant Contract"),$B14&lt;&gt;""),$C14*Thresholds_Rates!$F$15,IF(AND(OR($B$2="Clinical Lecturer / Medical Research Fellow",$B$2="Clinical Consultant - Old Contract (GP)"),$B14&lt;&gt;""),$C14*Thresholds_Rates!$F$15,IF(OR($B$2="APM Level 7",$B$2="R&amp;T Level 7"),$C14*Thresholds_Rates!$F$15,IF(SUMIF(Grades!$A:$A,$B$2,Grades!$BO:$BO)=1,$C14*Thresholds_Rates!$F$15,""))))))))</f>
        <v/>
      </c>
      <c r="G14" s="81" t="str">
        <f ca="1">IF(B14="","",IF($B$2="Salary Points 3 to 57","-",IF(SUMIF(Grades!$A:$A,$B$2,Grades!$BP:$BP)=0,"-",IF(AND(OR($B$2="New Consultant Contract"),$B14&lt;&gt;""),$C14*Thresholds_Rates!$F$16,IF(AND(OR($B$2="Clinical Lecturer / Medical Research Fellow",$B$2="Clinical Consultant - Old Contract (GP)"),$B14&lt;&gt;""),$C14*Thresholds_Rates!$F$16,IF(AND(OR($B$2="APM Level 7",$B$2="R&amp;T Level 7"),F14&lt;&gt;""),$C14*Thresholds_Rates!$F$16,IF(SUMIF(Grades!$A:$A,$B$2,Grades!$BP:$BP)=1,$C14*Thresholds_Rates!$F$16,"")))))))</f>
        <v/>
      </c>
      <c r="H14" s="81" t="str">
        <f ca="1">IF($B$2="Apprenticeship","-",IF(B14="","",IF(SUMIF(Grades!$A:$A,$B$2,Grades!$BQ:$BQ)=0,"-",IF(AND($B$2="Salary Points 3 to 57",B14&gt;Thresholds_Rates!$C$17),"-",IF(AND($B$2="Salary Points 3 to 57",B14&lt;=Thresholds_Rates!$C$17),$C14*Thresholds_Rates!$F$17,IF(AND(OR($B$2="New Consultant Contract"),$B14&lt;&gt;""),$C14*Thresholds_Rates!$F$17,IF(AND(OR($B$2="Clinical Lecturer / Medical Research Fellow",$B$2="Clinical Consultant - Old Contract (GP)"),$B14&lt;&gt;""),$C14*Thresholds_Rates!$F$17,IF(AND(OR($B$2="APM Level 7",$B$2="R&amp;T Level 7"),G14&lt;&gt;""),$C14*Thresholds_Rates!$F$17,IF(SUMIF(Grades!$A:$A,$B$2,Grades!$BQ:$BQ)=1,$C14*Thresholds_Rates!$F$17,"")))))))))</f>
        <v/>
      </c>
      <c r="I14" s="81" t="str">
        <f ca="1">IF($B14="","",ROUND(($C14-(Thresholds_Rates!$C$5*12))*Thresholds_Rates!$C$10,0))</f>
        <v/>
      </c>
      <c r="J14" s="81" t="str">
        <f ca="1">IF(B14="","",(C14*Thresholds_Rates!$C$12))</f>
        <v/>
      </c>
      <c r="K14" s="81" t="str">
        <f ca="1">IF(B14="","",IF(AND($B$2="Salary Points 3 to 57",B14&gt;Thresholds_Rates!$C$17),"-",IF(SUMIF(Grades!$A:$A,$B$2,Grades!$BR:$BR)=0,"-",IF(AND($B$2="Salary Points 3 to 57",B14&lt;=Thresholds_Rates!$C$17),$C14*Thresholds_Rates!$F$18,IF(AND(OR($B$2="New Consultant Contract"),$B14&lt;&gt;""),$C14*Thresholds_Rates!$F$18,IF(AND(OR($B$2="Clinical Lecturer / Medical Research Fellow",$B$2="Clinical Consultant - Old Contract (GP)"),$B14&lt;&gt;""),$C14*Thresholds_Rates!$F$18,IF(AND(OR($B$2="APM Level 7",$B$2="R&amp;T Level 7"),I14&lt;&gt;""),$C14*Thresholds_Rates!$F$18,IF(SUMIF(Grades!$A:$A,$B$2,Grades!$BQ:$BQ)=1,$C14*Thresholds_Rates!$F$18,""))))))))</f>
        <v/>
      </c>
      <c r="L14" s="68"/>
      <c r="M14" s="81" t="str">
        <f t="shared" ca="1" si="0"/>
        <v/>
      </c>
      <c r="N14" s="81" t="str">
        <f t="shared" ca="1" si="1"/>
        <v/>
      </c>
      <c r="O14" s="81" t="str">
        <f t="shared" ca="1" si="2"/>
        <v/>
      </c>
      <c r="P14" s="81" t="str">
        <f t="shared" ca="1" si="3"/>
        <v/>
      </c>
      <c r="Q14" s="81" t="str">
        <f t="shared" ca="1" si="4"/>
        <v/>
      </c>
      <c r="S14" s="83" t="str">
        <f ca="1">IF(B14="","",IF($B$2="R&amp;T Level 5 - Clinical Lecturers (Vet School)",SUMIF('Points Lookup'!$V:$V,$B14,'Points Lookup'!$W:$W),IF($B$2="R&amp;T Level 6 - Clinical Associate Professors and Clinical Readers (Vet School)",SUMIF('Points Lookup'!$AC:$AC,$B14,'Points Lookup'!$AD:$AD),"")))</f>
        <v/>
      </c>
      <c r="T14" s="84" t="str">
        <f ca="1">IF(B14="","",IF($B$2="R&amp;T Level 5 - Clinical Lecturers (Vet School)",$C14-SUMIF('Points Lookup'!$V:$V,$B14,'Points Lookup'!$X:$X),IF($B$2="R&amp;T Level 6 - Clinical Associate Professors and Clinical Readers (Vet School)",$C14-SUMIF('Points Lookup'!$AC:$AC,$B14,'Points Lookup'!$AE:$AE),"")))</f>
        <v/>
      </c>
      <c r="U14" s="83" t="str">
        <f ca="1">IF(B14="","",IF($B$2="R&amp;T Level 5 - Clinical Lecturers (Vet School)",SUMIF('Points Lookup'!$V:$V,$B14,'Points Lookup'!$Z:$Z),IF($B$2="R&amp;T Level 6 - Clinical Associate Professors and Clinical Readers (Vet School)",SUMIF('Points Lookup'!$AC:$AC,$B14,'Points Lookup'!$AG:$AG),"")))</f>
        <v/>
      </c>
      <c r="V14" s="84" t="str">
        <f t="shared" ca="1" si="5"/>
        <v/>
      </c>
      <c r="X14" s="39"/>
      <c r="AA14" s="39">
        <v>8</v>
      </c>
    </row>
    <row r="15" spans="2:41" x14ac:dyDescent="0.25">
      <c r="B15" s="68" t="str">
        <f ca="1">IFERROR(INDEX('Points Lookup'!$A:$A,MATCH($AA15,'Points Lookup'!$AN:$AN,0)),"")</f>
        <v/>
      </c>
      <c r="C15" s="81" t="str">
        <f ca="1">IF(B15="","",IF($B$2="Apprenticeship",SUMIF('Points Lookup'!$AJ:$AJ,B15,'Points Lookup'!$AL:$AL),IF(AND(OR($B$2="New Consultant Contract"),$B15&lt;&gt;""),INDEX('Points Lookup'!$T:$T,MATCH($B15,'Points Lookup'!$S:$S,0)),IF(AND(OR($B$2="Clinical Lecturer / Medical Research Fellow",$B$2="Clinical Consultant - Old Contract (GP)"),$B15&lt;&gt;""),INDEX('Points Lookup'!$Q:$Q,MATCH($B15,'Points Lookup'!$P:$P,0)),IF(AND(OR($B$2="APM Level 7",$B$2="R&amp;T Level 7",$B$2="APM Level 8",$B$2="Technical Services Level 7"),B15&lt;&gt;""),INDEX('Points Lookup'!$H:$H,MATCH($AA15,'Points Lookup'!$AN:$AN,0)),IF($B$2="R&amp;T Level 5 - Clinical Lecturers (Vet School)",SUMIF('Points Lookup'!$V:$V,$B15,'Points Lookup'!$Y:$Y),IF($B$2="R&amp;T Level 6 - Clinical Associate Professors and Clinical Readers (Vet School)",SUMIF('Points Lookup'!$AC:$AC,$B15,'Points Lookup'!$AF:$AF),IFERROR(INDEX('Points Lookup'!$B:$B,MATCH($AA15,'Points Lookup'!$AN:$AN,0)),""))))))))</f>
        <v/>
      </c>
      <c r="D15" s="82" t="str">
        <f ca="1">IF(B15="","",IF(AND($B$3="Y",B15&lt;7),VLOOKUP($B15,Thresholds_Rates!$I$15:$J$18,2,FALSE),"-"))</f>
        <v/>
      </c>
      <c r="E15" s="81"/>
      <c r="F15" s="81" t="str">
        <f ca="1">IF($B15="","",IF(AND($B$2="Salary Points 3 to 57",B15&lt;Thresholds_Rates!$C$16),"-",IF(SUMIF(Grades!$A:$A,$B$2,Grades!$BO:$BO)=0,"-",IF(AND($B$2="Salary Points 3 to 57",B15&gt;=Thresholds_Rates!$C$16),$C15*Thresholds_Rates!$F$15,IF(AND(OR($B$2="New Consultant Contract"),$B15&lt;&gt;""),$C15*Thresholds_Rates!$F$15,IF(AND(OR($B$2="Clinical Lecturer / Medical Research Fellow",$B$2="Clinical Consultant - Old Contract (GP)"),$B15&lt;&gt;""),$C15*Thresholds_Rates!$F$15,IF(OR($B$2="APM Level 7",$B$2="R&amp;T Level 7"),$C15*Thresholds_Rates!$F$15,IF(SUMIF(Grades!$A:$A,$B$2,Grades!$BO:$BO)=1,$C15*Thresholds_Rates!$F$15,""))))))))</f>
        <v/>
      </c>
      <c r="G15" s="81" t="str">
        <f ca="1">IF(B15="","",IF($B$2="Salary Points 3 to 57","-",IF(SUMIF(Grades!$A:$A,$B$2,Grades!$BP:$BP)=0,"-",IF(AND(OR($B$2="New Consultant Contract"),$B15&lt;&gt;""),$C15*Thresholds_Rates!$F$16,IF(AND(OR($B$2="Clinical Lecturer / Medical Research Fellow",$B$2="Clinical Consultant - Old Contract (GP)"),$B15&lt;&gt;""),$C15*Thresholds_Rates!$F$16,IF(AND(OR($B$2="APM Level 7",$B$2="R&amp;T Level 7"),F15&lt;&gt;""),$C15*Thresholds_Rates!$F$16,IF(SUMIF(Grades!$A:$A,$B$2,Grades!$BP:$BP)=1,$C15*Thresholds_Rates!$F$16,"")))))))</f>
        <v/>
      </c>
      <c r="H15" s="81" t="str">
        <f ca="1">IF($B$2="Apprenticeship","-",IF(B15="","",IF(SUMIF(Grades!$A:$A,$B$2,Grades!$BQ:$BQ)=0,"-",IF(AND($B$2="Salary Points 3 to 57",B15&gt;Thresholds_Rates!$C$17),"-",IF(AND($B$2="Salary Points 3 to 57",B15&lt;=Thresholds_Rates!$C$17),$C15*Thresholds_Rates!$F$17,IF(AND(OR($B$2="New Consultant Contract"),$B15&lt;&gt;""),$C15*Thresholds_Rates!$F$17,IF(AND(OR($B$2="Clinical Lecturer / Medical Research Fellow",$B$2="Clinical Consultant - Old Contract (GP)"),$B15&lt;&gt;""),$C15*Thresholds_Rates!$F$17,IF(AND(OR($B$2="APM Level 7",$B$2="R&amp;T Level 7"),G15&lt;&gt;""),$C15*Thresholds_Rates!$F$17,IF(SUMIF(Grades!$A:$A,$B$2,Grades!$BQ:$BQ)=1,$C15*Thresholds_Rates!$F$17,"")))))))))</f>
        <v/>
      </c>
      <c r="I15" s="81" t="str">
        <f ca="1">IF($B15="","",ROUND(($C15-(Thresholds_Rates!$C$5*12))*Thresholds_Rates!$C$10,0))</f>
        <v/>
      </c>
      <c r="J15" s="81" t="str">
        <f ca="1">IF(B15="","",(C15*Thresholds_Rates!$C$12))</f>
        <v/>
      </c>
      <c r="K15" s="81" t="str">
        <f ca="1">IF(B15="","",IF(AND($B$2="Salary Points 3 to 57",B15&gt;Thresholds_Rates!$C$17),"-",IF(SUMIF(Grades!$A:$A,$B$2,Grades!$BR:$BR)=0,"-",IF(AND($B$2="Salary Points 3 to 57",B15&lt;=Thresholds_Rates!$C$17),$C15*Thresholds_Rates!$F$18,IF(AND(OR($B$2="New Consultant Contract"),$B15&lt;&gt;""),$C15*Thresholds_Rates!$F$18,IF(AND(OR($B$2="Clinical Lecturer / Medical Research Fellow",$B$2="Clinical Consultant - Old Contract (GP)"),$B15&lt;&gt;""),$C15*Thresholds_Rates!$F$18,IF(AND(OR($B$2="APM Level 7",$B$2="R&amp;T Level 7"),I15&lt;&gt;""),$C15*Thresholds_Rates!$F$18,IF(SUMIF(Grades!$A:$A,$B$2,Grades!$BQ:$BQ)=1,$C15*Thresholds_Rates!$F$18,""))))))))</f>
        <v/>
      </c>
      <c r="L15" s="68"/>
      <c r="M15" s="81" t="str">
        <f t="shared" ca="1" si="0"/>
        <v/>
      </c>
      <c r="N15" s="81" t="str">
        <f t="shared" ca="1" si="1"/>
        <v/>
      </c>
      <c r="O15" s="81" t="str">
        <f t="shared" ca="1" si="2"/>
        <v/>
      </c>
      <c r="P15" s="81" t="str">
        <f t="shared" ca="1" si="3"/>
        <v/>
      </c>
      <c r="Q15" s="81" t="str">
        <f t="shared" ca="1" si="4"/>
        <v/>
      </c>
      <c r="S15" s="83" t="str">
        <f ca="1">IF(B15="","",IF($B$2="R&amp;T Level 5 - Clinical Lecturers (Vet School)",SUMIF('Points Lookup'!$V:$V,$B15,'Points Lookup'!$W:$W),IF($B$2="R&amp;T Level 6 - Clinical Associate Professors and Clinical Readers (Vet School)",SUMIF('Points Lookup'!$AC:$AC,$B15,'Points Lookup'!$AD:$AD),"")))</f>
        <v/>
      </c>
      <c r="T15" s="84" t="str">
        <f ca="1">IF(B15="","",IF($B$2="R&amp;T Level 5 - Clinical Lecturers (Vet School)",$C15-SUMIF('Points Lookup'!$V:$V,$B15,'Points Lookup'!$X:$X),IF($B$2="R&amp;T Level 6 - Clinical Associate Professors and Clinical Readers (Vet School)",$C15-SUMIF('Points Lookup'!$AC:$AC,$B15,'Points Lookup'!$AE:$AE),"")))</f>
        <v/>
      </c>
      <c r="U15" s="83" t="str">
        <f ca="1">IF(B15="","",IF($B$2="R&amp;T Level 5 - Clinical Lecturers (Vet School)",SUMIF('Points Lookup'!$V:$V,$B15,'Points Lookup'!$Z:$Z),IF($B$2="R&amp;T Level 6 - Clinical Associate Professors and Clinical Readers (Vet School)",SUMIF('Points Lookup'!$AC:$AC,$B15,'Points Lookup'!$AG:$AG),"")))</f>
        <v/>
      </c>
      <c r="V15" s="84" t="str">
        <f t="shared" ca="1" si="5"/>
        <v/>
      </c>
      <c r="X15" s="39"/>
      <c r="AA15" s="39">
        <v>9</v>
      </c>
    </row>
    <row r="16" spans="2:41" x14ac:dyDescent="0.25">
      <c r="B16" s="68" t="str">
        <f ca="1">IFERROR(INDEX('Points Lookup'!$A:$A,MATCH($AA16,'Points Lookup'!$AN:$AN,0)),"")</f>
        <v/>
      </c>
      <c r="C16" s="81" t="str">
        <f ca="1">IF(B16="","",IF($B$2="Apprenticeship",SUMIF('Points Lookup'!$AJ:$AJ,B16,'Points Lookup'!$AL:$AL),IF(AND(OR($B$2="New Consultant Contract"),$B16&lt;&gt;""),INDEX('Points Lookup'!$T:$T,MATCH($B16,'Points Lookup'!$S:$S,0)),IF(AND(OR($B$2="Clinical Lecturer / Medical Research Fellow",$B$2="Clinical Consultant - Old Contract (GP)"),$B16&lt;&gt;""),INDEX('Points Lookup'!$Q:$Q,MATCH($B16,'Points Lookup'!$P:$P,0)),IF(AND(OR($B$2="APM Level 7",$B$2="R&amp;T Level 7",$B$2="APM Level 8",$B$2="Technical Services Level 7"),B16&lt;&gt;""),INDEX('Points Lookup'!$H:$H,MATCH($AA16,'Points Lookup'!$AN:$AN,0)),IF($B$2="R&amp;T Level 5 - Clinical Lecturers (Vet School)",SUMIF('Points Lookup'!$V:$V,$B16,'Points Lookup'!$Y:$Y),IF($B$2="R&amp;T Level 6 - Clinical Associate Professors and Clinical Readers (Vet School)",SUMIF('Points Lookup'!$AC:$AC,$B16,'Points Lookup'!$AF:$AF),IFERROR(INDEX('Points Lookup'!$B:$B,MATCH($AA16,'Points Lookup'!$AN:$AN,0)),""))))))))</f>
        <v/>
      </c>
      <c r="D16" s="82" t="str">
        <f ca="1">IF(B16="","",IF(AND($B$3="Y",B16&lt;7),VLOOKUP($B16,Thresholds_Rates!$I$15:$J$18,2,FALSE),"-"))</f>
        <v/>
      </c>
      <c r="E16" s="81"/>
      <c r="F16" s="81" t="str">
        <f ca="1">IF($B16="","",IF(AND($B$2="Salary Points 3 to 57",B16&lt;Thresholds_Rates!$C$16),"-",IF(SUMIF(Grades!$A:$A,$B$2,Grades!$BO:$BO)=0,"-",IF(AND($B$2="Salary Points 3 to 57",B16&gt;=Thresholds_Rates!$C$16),$C16*Thresholds_Rates!$F$15,IF(AND(OR($B$2="New Consultant Contract"),$B16&lt;&gt;""),$C16*Thresholds_Rates!$F$15,IF(AND(OR($B$2="Clinical Lecturer / Medical Research Fellow",$B$2="Clinical Consultant - Old Contract (GP)"),$B16&lt;&gt;""),$C16*Thresholds_Rates!$F$15,IF(OR($B$2="APM Level 7",$B$2="R&amp;T Level 7"),$C16*Thresholds_Rates!$F$15,IF(SUMIF(Grades!$A:$A,$B$2,Grades!$BO:$BO)=1,$C16*Thresholds_Rates!$F$15,""))))))))</f>
        <v/>
      </c>
      <c r="G16" s="81" t="str">
        <f ca="1">IF(B16="","",IF($B$2="Salary Points 3 to 57","-",IF(SUMIF(Grades!$A:$A,$B$2,Grades!$BP:$BP)=0,"-",IF(AND(OR($B$2="New Consultant Contract"),$B16&lt;&gt;""),$C16*Thresholds_Rates!$F$16,IF(AND(OR($B$2="Clinical Lecturer / Medical Research Fellow",$B$2="Clinical Consultant - Old Contract (GP)"),$B16&lt;&gt;""),$C16*Thresholds_Rates!$F$16,IF(AND(OR($B$2="APM Level 7",$B$2="R&amp;T Level 7"),F16&lt;&gt;""),$C16*Thresholds_Rates!$F$16,IF(SUMIF(Grades!$A:$A,$B$2,Grades!$BP:$BP)=1,$C16*Thresholds_Rates!$F$16,"")))))))</f>
        <v/>
      </c>
      <c r="H16" s="81" t="str">
        <f ca="1">IF($B$2="Apprenticeship","-",IF(B16="","",IF(SUMIF(Grades!$A:$A,$B$2,Grades!$BQ:$BQ)=0,"-",IF(AND($B$2="Salary Points 3 to 57",B16&gt;Thresholds_Rates!$C$17),"-",IF(AND($B$2="Salary Points 3 to 57",B16&lt;=Thresholds_Rates!$C$17),$C16*Thresholds_Rates!$F$17,IF(AND(OR($B$2="New Consultant Contract"),$B16&lt;&gt;""),$C16*Thresholds_Rates!$F$17,IF(AND(OR($B$2="Clinical Lecturer / Medical Research Fellow",$B$2="Clinical Consultant - Old Contract (GP)"),$B16&lt;&gt;""),$C16*Thresholds_Rates!$F$17,IF(AND(OR($B$2="APM Level 7",$B$2="R&amp;T Level 7"),G16&lt;&gt;""),$C16*Thresholds_Rates!$F$17,IF(SUMIF(Grades!$A:$A,$B$2,Grades!$BQ:$BQ)=1,$C16*Thresholds_Rates!$F$17,"")))))))))</f>
        <v/>
      </c>
      <c r="I16" s="81" t="str">
        <f ca="1">IF($B16="","",ROUND(($C16-(Thresholds_Rates!$C$5*12))*Thresholds_Rates!$C$10,0))</f>
        <v/>
      </c>
      <c r="J16" s="81" t="str">
        <f ca="1">IF(B16="","",(C16*Thresholds_Rates!$C$12))</f>
        <v/>
      </c>
      <c r="K16" s="81" t="str">
        <f ca="1">IF(B16="","",IF(AND($B$2="Salary Points 3 to 57",B16&gt;Thresholds_Rates!$C$17),"-",IF(SUMIF(Grades!$A:$A,$B$2,Grades!$BR:$BR)=0,"-",IF(AND($B$2="Salary Points 3 to 57",B16&lt;=Thresholds_Rates!$C$17),$C16*Thresholds_Rates!$F$18,IF(AND(OR($B$2="New Consultant Contract"),$B16&lt;&gt;""),$C16*Thresholds_Rates!$F$18,IF(AND(OR($B$2="Clinical Lecturer / Medical Research Fellow",$B$2="Clinical Consultant - Old Contract (GP)"),$B16&lt;&gt;""),$C16*Thresholds_Rates!$F$18,IF(AND(OR($B$2="APM Level 7",$B$2="R&amp;T Level 7"),I16&lt;&gt;""),$C16*Thresholds_Rates!$F$18,IF(SUMIF(Grades!$A:$A,$B$2,Grades!$BQ:$BQ)=1,$C16*Thresholds_Rates!$F$18,""))))))))</f>
        <v/>
      </c>
      <c r="L16" s="68"/>
      <c r="M16" s="81" t="str">
        <f t="shared" ca="1" si="0"/>
        <v/>
      </c>
      <c r="N16" s="81" t="str">
        <f t="shared" ca="1" si="1"/>
        <v/>
      </c>
      <c r="O16" s="81" t="str">
        <f t="shared" ca="1" si="2"/>
        <v/>
      </c>
      <c r="P16" s="81" t="str">
        <f t="shared" ca="1" si="3"/>
        <v/>
      </c>
      <c r="Q16" s="81" t="str">
        <f t="shared" ca="1" si="4"/>
        <v/>
      </c>
      <c r="S16" s="83" t="str">
        <f ca="1">IF(B16="","",IF($B$2="R&amp;T Level 5 - Clinical Lecturers (Vet School)",SUMIF('Points Lookup'!$V:$V,$B16,'Points Lookup'!$W:$W),IF($B$2="R&amp;T Level 6 - Clinical Associate Professors and Clinical Readers (Vet School)",SUMIF('Points Lookup'!$AC:$AC,$B16,'Points Lookup'!$AD:$AD),"")))</f>
        <v/>
      </c>
      <c r="T16" s="84" t="str">
        <f ca="1">IF(B16="","",IF($B$2="R&amp;T Level 5 - Clinical Lecturers (Vet School)",$C16-SUMIF('Points Lookup'!$V:$V,$B16,'Points Lookup'!$X:$X),IF($B$2="R&amp;T Level 6 - Clinical Associate Professors and Clinical Readers (Vet School)",$C16-SUMIF('Points Lookup'!$AC:$AC,$B16,'Points Lookup'!$AE:$AE),"")))</f>
        <v/>
      </c>
      <c r="U16" s="83" t="str">
        <f ca="1">IF(B16="","",IF($B$2="R&amp;T Level 5 - Clinical Lecturers (Vet School)",SUMIF('Points Lookup'!$V:$V,$B16,'Points Lookup'!$Z:$Z),IF($B$2="R&amp;T Level 6 - Clinical Associate Professors and Clinical Readers (Vet School)",SUMIF('Points Lookup'!$AC:$AC,$B16,'Points Lookup'!$AG:$AG),"")))</f>
        <v/>
      </c>
      <c r="V16" s="84" t="str">
        <f t="shared" ca="1" si="5"/>
        <v/>
      </c>
      <c r="X16" s="39"/>
      <c r="AA16" s="39">
        <v>10</v>
      </c>
    </row>
    <row r="17" spans="2:27" x14ac:dyDescent="0.25">
      <c r="B17" s="68" t="str">
        <f ca="1">IFERROR(INDEX('Points Lookup'!$A:$A,MATCH($AA17,'Points Lookup'!$AN:$AN,0)),"")</f>
        <v/>
      </c>
      <c r="C17" s="81" t="str">
        <f ca="1">IF(B17="","",IF($B$2="Apprenticeship",SUMIF('Points Lookup'!$AJ:$AJ,B17,'Points Lookup'!$AL:$AL),IF(AND(OR($B$2="New Consultant Contract"),$B17&lt;&gt;""),INDEX('Points Lookup'!$T:$T,MATCH($B17,'Points Lookup'!$S:$S,0)),IF(AND(OR($B$2="Clinical Lecturer / Medical Research Fellow",$B$2="Clinical Consultant - Old Contract (GP)"),$B17&lt;&gt;""),INDEX('Points Lookup'!$Q:$Q,MATCH($B17,'Points Lookup'!$P:$P,0)),IF(AND(OR($B$2="APM Level 7",$B$2="R&amp;T Level 7",$B$2="APM Level 8",$B$2="Technical Services Level 7"),B17&lt;&gt;""),INDEX('Points Lookup'!$H:$H,MATCH($AA17,'Points Lookup'!$AN:$AN,0)),IF($B$2="R&amp;T Level 5 - Clinical Lecturers (Vet School)",SUMIF('Points Lookup'!$V:$V,$B17,'Points Lookup'!$Y:$Y),IF($B$2="R&amp;T Level 6 - Clinical Associate Professors and Clinical Readers (Vet School)",SUMIF('Points Lookup'!$AC:$AC,$B17,'Points Lookup'!$AF:$AF),IFERROR(INDEX('Points Lookup'!$B:$B,MATCH($AA17,'Points Lookup'!$AN:$AN,0)),""))))))))</f>
        <v/>
      </c>
      <c r="D17" s="82" t="str">
        <f ca="1">IF(B17="","",IF(AND($B$3="Y",B17&lt;7),VLOOKUP($B17,Thresholds_Rates!$I$15:$J$18,2,FALSE),"-"))</f>
        <v/>
      </c>
      <c r="E17" s="81"/>
      <c r="F17" s="81" t="str">
        <f ca="1">IF($B17="","",IF(AND($B$2="Salary Points 3 to 57",B17&lt;Thresholds_Rates!$C$16),"-",IF(SUMIF(Grades!$A:$A,$B$2,Grades!$BO:$BO)=0,"-",IF(AND($B$2="Salary Points 3 to 57",B17&gt;=Thresholds_Rates!$C$16),$C17*Thresholds_Rates!$F$15,IF(AND(OR($B$2="New Consultant Contract"),$B17&lt;&gt;""),$C17*Thresholds_Rates!$F$15,IF(AND(OR($B$2="Clinical Lecturer / Medical Research Fellow",$B$2="Clinical Consultant - Old Contract (GP)"),$B17&lt;&gt;""),$C17*Thresholds_Rates!$F$15,IF(OR($B$2="APM Level 7",$B$2="R&amp;T Level 7"),$C17*Thresholds_Rates!$F$15,IF(SUMIF(Grades!$A:$A,$B$2,Grades!$BO:$BO)=1,$C17*Thresholds_Rates!$F$15,""))))))))</f>
        <v/>
      </c>
      <c r="G17" s="81" t="str">
        <f ca="1">IF(B17="","",IF($B$2="Salary Points 3 to 57","-",IF(SUMIF(Grades!$A:$A,$B$2,Grades!$BP:$BP)=0,"-",IF(AND(OR($B$2="New Consultant Contract"),$B17&lt;&gt;""),$C17*Thresholds_Rates!$F$16,IF(AND(OR($B$2="Clinical Lecturer / Medical Research Fellow",$B$2="Clinical Consultant - Old Contract (GP)"),$B17&lt;&gt;""),$C17*Thresholds_Rates!$F$16,IF(AND(OR($B$2="APM Level 7",$B$2="R&amp;T Level 7"),F17&lt;&gt;""),$C17*Thresholds_Rates!$F$16,IF(SUMIF(Grades!$A:$A,$B$2,Grades!$BP:$BP)=1,$C17*Thresholds_Rates!$F$16,"")))))))</f>
        <v/>
      </c>
      <c r="H17" s="81" t="str">
        <f ca="1">IF($B$2="Apprenticeship","-",IF(B17="","",IF(SUMIF(Grades!$A:$A,$B$2,Grades!$BQ:$BQ)=0,"-",IF(AND($B$2="Salary Points 3 to 57",B17&gt;Thresholds_Rates!$C$17),"-",IF(AND($B$2="Salary Points 3 to 57",B17&lt;=Thresholds_Rates!$C$17),$C17*Thresholds_Rates!$F$17,IF(AND(OR($B$2="New Consultant Contract"),$B17&lt;&gt;""),$C17*Thresholds_Rates!$F$17,IF(AND(OR($B$2="Clinical Lecturer / Medical Research Fellow",$B$2="Clinical Consultant - Old Contract (GP)"),$B17&lt;&gt;""),$C17*Thresholds_Rates!$F$17,IF(AND(OR($B$2="APM Level 7",$B$2="R&amp;T Level 7"),G17&lt;&gt;""),$C17*Thresholds_Rates!$F$17,IF(SUMIF(Grades!$A:$A,$B$2,Grades!$BQ:$BQ)=1,$C17*Thresholds_Rates!$F$17,"")))))))))</f>
        <v/>
      </c>
      <c r="I17" s="81" t="str">
        <f ca="1">IF($B17="","",ROUND(($C17-(Thresholds_Rates!$C$5*12))*Thresholds_Rates!$C$10,0))</f>
        <v/>
      </c>
      <c r="J17" s="81" t="str">
        <f ca="1">IF(B17="","",(C17*Thresholds_Rates!$C$12))</f>
        <v/>
      </c>
      <c r="K17" s="81" t="str">
        <f ca="1">IF(B17="","",IF(AND($B$2="Salary Points 3 to 57",B17&gt;Thresholds_Rates!$C$17),"-",IF(SUMIF(Grades!$A:$A,$B$2,Grades!$BR:$BR)=0,"-",IF(AND($B$2="Salary Points 3 to 57",B17&lt;=Thresholds_Rates!$C$17),$C17*Thresholds_Rates!$F$18,IF(AND(OR($B$2="New Consultant Contract"),$B17&lt;&gt;""),$C17*Thresholds_Rates!$F$18,IF(AND(OR($B$2="Clinical Lecturer / Medical Research Fellow",$B$2="Clinical Consultant - Old Contract (GP)"),$B17&lt;&gt;""),$C17*Thresholds_Rates!$F$18,IF(AND(OR($B$2="APM Level 7",$B$2="R&amp;T Level 7"),I17&lt;&gt;""),$C17*Thresholds_Rates!$F$18,IF(SUMIF(Grades!$A:$A,$B$2,Grades!$BQ:$BQ)=1,$C17*Thresholds_Rates!$F$18,""))))))))</f>
        <v/>
      </c>
      <c r="L17" s="68"/>
      <c r="M17" s="81" t="str">
        <f t="shared" ca="1" si="0"/>
        <v/>
      </c>
      <c r="N17" s="81" t="str">
        <f t="shared" ca="1" si="1"/>
        <v/>
      </c>
      <c r="O17" s="81" t="str">
        <f t="shared" ca="1" si="2"/>
        <v/>
      </c>
      <c r="P17" s="81" t="str">
        <f t="shared" ca="1" si="3"/>
        <v/>
      </c>
      <c r="Q17" s="81" t="str">
        <f t="shared" ca="1" si="4"/>
        <v/>
      </c>
      <c r="S17" s="83" t="str">
        <f ca="1">IF(B17="","",IF($B$2="R&amp;T Level 5 - Clinical Lecturers (Vet School)",SUMIF('Points Lookup'!$V:$V,$B17,'Points Lookup'!$W:$W),IF($B$2="R&amp;T Level 6 - Clinical Associate Professors and Clinical Readers (Vet School)",SUMIF('Points Lookup'!$AC:$AC,$B17,'Points Lookup'!$AD:$AD),"")))</f>
        <v/>
      </c>
      <c r="T17" s="84" t="str">
        <f ca="1">IF(B17="","",IF($B$2="R&amp;T Level 5 - Clinical Lecturers (Vet School)",$C17-SUMIF('Points Lookup'!$V:$V,$B17,'Points Lookup'!$X:$X),IF($B$2="R&amp;T Level 6 - Clinical Associate Professors and Clinical Readers (Vet School)",$C17-SUMIF('Points Lookup'!$AC:$AC,$B17,'Points Lookup'!$AE:$AE),"")))</f>
        <v/>
      </c>
      <c r="U17" s="83" t="str">
        <f ca="1">IF(B17="","",IF($B$2="R&amp;T Level 5 - Clinical Lecturers (Vet School)",SUMIF('Points Lookup'!$V:$V,$B17,'Points Lookup'!$Z:$Z),IF($B$2="R&amp;T Level 6 - Clinical Associate Professors and Clinical Readers (Vet School)",SUMIF('Points Lookup'!$AC:$AC,$B17,'Points Lookup'!$AG:$AG),"")))</f>
        <v/>
      </c>
      <c r="V17" s="84" t="str">
        <f t="shared" ca="1" si="5"/>
        <v/>
      </c>
      <c r="AA17" s="39">
        <v>11</v>
      </c>
    </row>
    <row r="18" spans="2:27" x14ac:dyDescent="0.25">
      <c r="B18" s="68" t="str">
        <f ca="1">IFERROR(INDEX('Points Lookup'!$A:$A,MATCH($AA18,'Points Lookup'!$AN:$AN,0)),"")</f>
        <v/>
      </c>
      <c r="C18" s="81" t="str">
        <f ca="1">IF(B18="","",IF($B$2="Apprenticeship",SUMIF('Points Lookup'!$AJ:$AJ,B18,'Points Lookup'!$AL:$AL),IF(AND(OR($B$2="New Consultant Contract"),$B18&lt;&gt;""),INDEX('Points Lookup'!$T:$T,MATCH($B18,'Points Lookup'!$S:$S,0)),IF(AND(OR($B$2="Clinical Lecturer / Medical Research Fellow",$B$2="Clinical Consultant - Old Contract (GP)"),$B18&lt;&gt;""),INDEX('Points Lookup'!$Q:$Q,MATCH($B18,'Points Lookup'!$P:$P,0)),IF(AND(OR($B$2="APM Level 7",$B$2="R&amp;T Level 7",$B$2="APM Level 8",$B$2="Technical Services Level 7"),B18&lt;&gt;""),INDEX('Points Lookup'!$H:$H,MATCH($AA18,'Points Lookup'!$AN:$AN,0)),IF($B$2="R&amp;T Level 5 - Clinical Lecturers (Vet School)",SUMIF('Points Lookup'!$V:$V,$B18,'Points Lookup'!$Y:$Y),IF($B$2="R&amp;T Level 6 - Clinical Associate Professors and Clinical Readers (Vet School)",SUMIF('Points Lookup'!$AC:$AC,$B18,'Points Lookup'!$AF:$AF),IFERROR(INDEX('Points Lookup'!$B:$B,MATCH($AA18,'Points Lookup'!$AN:$AN,0)),""))))))))</f>
        <v/>
      </c>
      <c r="D18" s="82" t="str">
        <f ca="1">IF(B18="","",IF(AND($B$3="Y",B18&lt;7),VLOOKUP($B18,Thresholds_Rates!$I$15:$J$18,2,FALSE),"-"))</f>
        <v/>
      </c>
      <c r="E18" s="81"/>
      <c r="F18" s="81" t="str">
        <f ca="1">IF($B18="","",IF(AND($B$2="Salary Points 3 to 57",B18&lt;Thresholds_Rates!$C$16),"-",IF(SUMIF(Grades!$A:$A,$B$2,Grades!$BO:$BO)=0,"-",IF(AND($B$2="Salary Points 3 to 57",B18&gt;=Thresholds_Rates!$C$16),$C18*Thresholds_Rates!$F$15,IF(AND(OR($B$2="New Consultant Contract"),$B18&lt;&gt;""),$C18*Thresholds_Rates!$F$15,IF(AND(OR($B$2="Clinical Lecturer / Medical Research Fellow",$B$2="Clinical Consultant - Old Contract (GP)"),$B18&lt;&gt;""),$C18*Thresholds_Rates!$F$15,IF(OR($B$2="APM Level 7",$B$2="R&amp;T Level 7"),$C18*Thresholds_Rates!$F$15,IF(SUMIF(Grades!$A:$A,$B$2,Grades!$BO:$BO)=1,$C18*Thresholds_Rates!$F$15,""))))))))</f>
        <v/>
      </c>
      <c r="G18" s="81" t="str">
        <f ca="1">IF(B18="","",IF($B$2="Salary Points 3 to 57","-",IF(SUMIF(Grades!$A:$A,$B$2,Grades!$BP:$BP)=0,"-",IF(AND(OR($B$2="New Consultant Contract"),$B18&lt;&gt;""),$C18*Thresholds_Rates!$F$16,IF(AND(OR($B$2="Clinical Lecturer / Medical Research Fellow",$B$2="Clinical Consultant - Old Contract (GP)"),$B18&lt;&gt;""),$C18*Thresholds_Rates!$F$16,IF(AND(OR($B$2="APM Level 7",$B$2="R&amp;T Level 7"),F18&lt;&gt;""),$C18*Thresholds_Rates!$F$16,IF(SUMIF(Grades!$A:$A,$B$2,Grades!$BP:$BP)=1,$C18*Thresholds_Rates!$F$16,"")))))))</f>
        <v/>
      </c>
      <c r="H18" s="81" t="str">
        <f ca="1">IF($B$2="Apprenticeship","-",IF(B18="","",IF(SUMIF(Grades!$A:$A,$B$2,Grades!$BQ:$BQ)=0,"-",IF(AND($B$2="Salary Points 3 to 57",B18&gt;Thresholds_Rates!$C$17),"-",IF(AND($B$2="Salary Points 3 to 57",B18&lt;=Thresholds_Rates!$C$17),$C18*Thresholds_Rates!$F$17,IF(AND(OR($B$2="New Consultant Contract"),$B18&lt;&gt;""),$C18*Thresholds_Rates!$F$17,IF(AND(OR($B$2="Clinical Lecturer / Medical Research Fellow",$B$2="Clinical Consultant - Old Contract (GP)"),$B18&lt;&gt;""),$C18*Thresholds_Rates!$F$17,IF(AND(OR($B$2="APM Level 7",$B$2="R&amp;T Level 7"),G18&lt;&gt;""),$C18*Thresholds_Rates!$F$17,IF(SUMIF(Grades!$A:$A,$B$2,Grades!$BQ:$BQ)=1,$C18*Thresholds_Rates!$F$17,"")))))))))</f>
        <v/>
      </c>
      <c r="I18" s="81" t="str">
        <f ca="1">IF($B18="","",ROUND(($C18-(Thresholds_Rates!$C$5*12))*Thresholds_Rates!$C$10,0))</f>
        <v/>
      </c>
      <c r="J18" s="81" t="str">
        <f ca="1">IF(B18="","",(C18*Thresholds_Rates!$C$12))</f>
        <v/>
      </c>
      <c r="K18" s="81" t="str">
        <f ca="1">IF(B18="","",IF(AND($B$2="Salary Points 3 to 57",B18&gt;Thresholds_Rates!$C$17),"-",IF(SUMIF(Grades!$A:$A,$B$2,Grades!$BR:$BR)=0,"-",IF(AND($B$2="Salary Points 3 to 57",B18&lt;=Thresholds_Rates!$C$17),$C18*Thresholds_Rates!$F$18,IF(AND(OR($B$2="New Consultant Contract"),$B18&lt;&gt;""),$C18*Thresholds_Rates!$F$18,IF(AND(OR($B$2="Clinical Lecturer / Medical Research Fellow",$B$2="Clinical Consultant - Old Contract (GP)"),$B18&lt;&gt;""),$C18*Thresholds_Rates!$F$18,IF(AND(OR($B$2="APM Level 7",$B$2="R&amp;T Level 7"),I18&lt;&gt;""),$C18*Thresholds_Rates!$F$18,IF(SUMIF(Grades!$A:$A,$B$2,Grades!$BQ:$BQ)=1,$C18*Thresholds_Rates!$F$18,""))))))))</f>
        <v/>
      </c>
      <c r="L18" s="68"/>
      <c r="M18" s="81" t="str">
        <f t="shared" ca="1" si="0"/>
        <v/>
      </c>
      <c r="N18" s="81" t="str">
        <f t="shared" ca="1" si="1"/>
        <v/>
      </c>
      <c r="O18" s="81" t="str">
        <f t="shared" ca="1" si="2"/>
        <v/>
      </c>
      <c r="P18" s="81" t="str">
        <f t="shared" ca="1" si="3"/>
        <v/>
      </c>
      <c r="Q18" s="81" t="str">
        <f t="shared" ca="1" si="4"/>
        <v/>
      </c>
      <c r="S18" s="83" t="str">
        <f ca="1">IF(B18="","",IF($B$2="R&amp;T Level 5 - Clinical Lecturers (Vet School)",SUMIF('Points Lookup'!$V:$V,$B18,'Points Lookup'!$W:$W),IF($B$2="R&amp;T Level 6 - Clinical Associate Professors and Clinical Readers (Vet School)",SUMIF('Points Lookup'!$AC:$AC,$B18,'Points Lookup'!$AD:$AD),"")))</f>
        <v/>
      </c>
      <c r="T18" s="84" t="str">
        <f ca="1">IF(B18="","",IF($B$2="R&amp;T Level 5 - Clinical Lecturers (Vet School)",$C18-SUMIF('Points Lookup'!$V:$V,$B18,'Points Lookup'!$X:$X),IF($B$2="R&amp;T Level 6 - Clinical Associate Professors and Clinical Readers (Vet School)",$C18-SUMIF('Points Lookup'!$AC:$AC,$B18,'Points Lookup'!$AE:$AE),"")))</f>
        <v/>
      </c>
      <c r="U18" s="83" t="str">
        <f ca="1">IF(B18="","",IF($B$2="R&amp;T Level 5 - Clinical Lecturers (Vet School)",SUMIF('Points Lookup'!$V:$V,$B18,'Points Lookup'!$Z:$Z),IF($B$2="R&amp;T Level 6 - Clinical Associate Professors and Clinical Readers (Vet School)",SUMIF('Points Lookup'!$AC:$AC,$B18,'Points Lookup'!$AG:$AG),"")))</f>
        <v/>
      </c>
      <c r="V18" s="84" t="str">
        <f t="shared" ca="1" si="5"/>
        <v/>
      </c>
      <c r="AA18" s="39">
        <v>12</v>
      </c>
    </row>
    <row r="19" spans="2:27" x14ac:dyDescent="0.25">
      <c r="B19" s="68" t="str">
        <f ca="1">IFERROR(INDEX('Points Lookup'!$A:$A,MATCH($AA19,'Points Lookup'!$AN:$AN,0)),"")</f>
        <v/>
      </c>
      <c r="C19" s="81" t="str">
        <f ca="1">IF(B19="","",IF($B$2="Apprenticeship",SUMIF('Points Lookup'!$AJ:$AJ,B19,'Points Lookup'!$AL:$AL),IF(AND(OR($B$2="New Consultant Contract"),$B19&lt;&gt;""),INDEX('Points Lookup'!$T:$T,MATCH($B19,'Points Lookup'!$S:$S,0)),IF(AND(OR($B$2="Clinical Lecturer / Medical Research Fellow",$B$2="Clinical Consultant - Old Contract (GP)"),$B19&lt;&gt;""),INDEX('Points Lookup'!$Q:$Q,MATCH($B19,'Points Lookup'!$P:$P,0)),IF(AND(OR($B$2="APM Level 7",$B$2="R&amp;T Level 7",$B$2="APM Level 8",$B$2="Technical Services Level 7"),B19&lt;&gt;""),INDEX('Points Lookup'!$H:$H,MATCH($AA19,'Points Lookup'!$AN:$AN,0)),IF($B$2="R&amp;T Level 5 - Clinical Lecturers (Vet School)",SUMIF('Points Lookup'!$V:$V,$B19,'Points Lookup'!$Y:$Y),IF($B$2="R&amp;T Level 6 - Clinical Associate Professors and Clinical Readers (Vet School)",SUMIF('Points Lookup'!$AC:$AC,$B19,'Points Lookup'!$AF:$AF),IFERROR(INDEX('Points Lookup'!$B:$B,MATCH($AA19,'Points Lookup'!$AN:$AN,0)),""))))))))</f>
        <v/>
      </c>
      <c r="D19" s="82" t="str">
        <f ca="1">IF(B19="","",IF(AND($B$3="Y",B19&lt;7),VLOOKUP($B19,Thresholds_Rates!$I$15:$J$18,2,FALSE),"-"))</f>
        <v/>
      </c>
      <c r="E19" s="81"/>
      <c r="F19" s="81" t="str">
        <f ca="1">IF($B19="","",IF(AND($B$2="Salary Points 3 to 57",B19&lt;Thresholds_Rates!$C$16),"-",IF(SUMIF(Grades!$A:$A,$B$2,Grades!$BO:$BO)=0,"-",IF(AND($B$2="Salary Points 3 to 57",B19&gt;=Thresholds_Rates!$C$16),$C19*Thresholds_Rates!$F$15,IF(AND(OR($B$2="New Consultant Contract"),$B19&lt;&gt;""),$C19*Thresholds_Rates!$F$15,IF(AND(OR($B$2="Clinical Lecturer / Medical Research Fellow",$B$2="Clinical Consultant - Old Contract (GP)"),$B19&lt;&gt;""),$C19*Thresholds_Rates!$F$15,IF(OR($B$2="APM Level 7",$B$2="R&amp;T Level 7"),$C19*Thresholds_Rates!$F$15,IF(SUMIF(Grades!$A:$A,$B$2,Grades!$BO:$BO)=1,$C19*Thresholds_Rates!$F$15,""))))))))</f>
        <v/>
      </c>
      <c r="G19" s="81" t="str">
        <f ca="1">IF(B19="","",IF($B$2="Salary Points 3 to 57","-",IF(SUMIF(Grades!$A:$A,$B$2,Grades!$BP:$BP)=0,"-",IF(AND(OR($B$2="New Consultant Contract"),$B19&lt;&gt;""),$C19*Thresholds_Rates!$F$16,IF(AND(OR($B$2="Clinical Lecturer / Medical Research Fellow",$B$2="Clinical Consultant - Old Contract (GP)"),$B19&lt;&gt;""),$C19*Thresholds_Rates!$F$16,IF(AND(OR($B$2="APM Level 7",$B$2="R&amp;T Level 7"),F19&lt;&gt;""),$C19*Thresholds_Rates!$F$16,IF(SUMIF(Grades!$A:$A,$B$2,Grades!$BP:$BP)=1,$C19*Thresholds_Rates!$F$16,"")))))))</f>
        <v/>
      </c>
      <c r="H19" s="81" t="str">
        <f ca="1">IF($B$2="Apprenticeship","-",IF(B19="","",IF(SUMIF(Grades!$A:$A,$B$2,Grades!$BQ:$BQ)=0,"-",IF(AND($B$2="Salary Points 3 to 57",B19&gt;Thresholds_Rates!$C$17),"-",IF(AND($B$2="Salary Points 3 to 57",B19&lt;=Thresholds_Rates!$C$17),$C19*Thresholds_Rates!$F$17,IF(AND(OR($B$2="New Consultant Contract"),$B19&lt;&gt;""),$C19*Thresholds_Rates!$F$17,IF(AND(OR($B$2="Clinical Lecturer / Medical Research Fellow",$B$2="Clinical Consultant - Old Contract (GP)"),$B19&lt;&gt;""),$C19*Thresholds_Rates!$F$17,IF(AND(OR($B$2="APM Level 7",$B$2="R&amp;T Level 7"),G19&lt;&gt;""),$C19*Thresholds_Rates!$F$17,IF(SUMIF(Grades!$A:$A,$B$2,Grades!$BQ:$BQ)=1,$C19*Thresholds_Rates!$F$17,"")))))))))</f>
        <v/>
      </c>
      <c r="I19" s="81" t="str">
        <f ca="1">IF($B19="","",ROUND(($C19-(Thresholds_Rates!$C$5*12))*Thresholds_Rates!$C$10,0))</f>
        <v/>
      </c>
      <c r="J19" s="81" t="str">
        <f ca="1">IF(B19="","",(C19*Thresholds_Rates!$C$12))</f>
        <v/>
      </c>
      <c r="K19" s="81" t="str">
        <f ca="1">IF(B19="","",IF(AND($B$2="Salary Points 3 to 57",B19&gt;Thresholds_Rates!$C$17),"-",IF(SUMIF(Grades!$A:$A,$B$2,Grades!$BR:$BR)=0,"-",IF(AND($B$2="Salary Points 3 to 57",B19&lt;=Thresholds_Rates!$C$17),$C19*Thresholds_Rates!$F$18,IF(AND(OR($B$2="New Consultant Contract"),$B19&lt;&gt;""),$C19*Thresholds_Rates!$F$18,IF(AND(OR($B$2="Clinical Lecturer / Medical Research Fellow",$B$2="Clinical Consultant - Old Contract (GP)"),$B19&lt;&gt;""),$C19*Thresholds_Rates!$F$18,IF(AND(OR($B$2="APM Level 7",$B$2="R&amp;T Level 7"),I19&lt;&gt;""),$C19*Thresholds_Rates!$F$18,IF(SUMIF(Grades!$A:$A,$B$2,Grades!$BQ:$BQ)=1,$C19*Thresholds_Rates!$F$18,""))))))))</f>
        <v/>
      </c>
      <c r="L19" s="68"/>
      <c r="M19" s="81" t="str">
        <f t="shared" ca="1" si="0"/>
        <v/>
      </c>
      <c r="N19" s="81" t="str">
        <f t="shared" ca="1" si="1"/>
        <v/>
      </c>
      <c r="O19" s="81" t="str">
        <f t="shared" ca="1" si="2"/>
        <v/>
      </c>
      <c r="P19" s="81" t="str">
        <f t="shared" ca="1" si="3"/>
        <v/>
      </c>
      <c r="Q19" s="81" t="str">
        <f t="shared" ca="1" si="4"/>
        <v/>
      </c>
      <c r="S19" s="83" t="str">
        <f ca="1">IF(B19="","",IF($B$2="R&amp;T Level 5 - Clinical Lecturers (Vet School)",SUMIF('Points Lookup'!$V:$V,$B19,'Points Lookup'!$W:$W),IF($B$2="R&amp;T Level 6 - Clinical Associate Professors and Clinical Readers (Vet School)",SUMIF('Points Lookup'!$AC:$AC,$B19,'Points Lookup'!$AD:$AD),"")))</f>
        <v/>
      </c>
      <c r="T19" s="84" t="str">
        <f ca="1">IF(B19="","",IF($B$2="R&amp;T Level 5 - Clinical Lecturers (Vet School)",$C19-SUMIF('Points Lookup'!$V:$V,$B19,'Points Lookup'!$X:$X),IF($B$2="R&amp;T Level 6 - Clinical Associate Professors and Clinical Readers (Vet School)",$C19-SUMIF('Points Lookup'!$AC:$AC,$B19,'Points Lookup'!$AE:$AE),"")))</f>
        <v/>
      </c>
      <c r="U19" s="83" t="str">
        <f ca="1">IF(B19="","",IF($B$2="R&amp;T Level 5 - Clinical Lecturers (Vet School)",SUMIF('Points Lookup'!$V:$V,$B19,'Points Lookup'!$Z:$Z),IF($B$2="R&amp;T Level 6 - Clinical Associate Professors and Clinical Readers (Vet School)",SUMIF('Points Lookup'!$AC:$AC,$B19,'Points Lookup'!$AG:$AG),"")))</f>
        <v/>
      </c>
      <c r="V19" s="84" t="str">
        <f t="shared" ca="1" si="5"/>
        <v/>
      </c>
      <c r="AA19" s="39">
        <v>13</v>
      </c>
    </row>
    <row r="20" spans="2:27" x14ac:dyDescent="0.25">
      <c r="B20" s="68" t="str">
        <f ca="1">IFERROR(INDEX('Points Lookup'!$A:$A,MATCH($AA20,'Points Lookup'!$AN:$AN,0)),"")</f>
        <v/>
      </c>
      <c r="C20" s="81" t="str">
        <f ca="1">IF(B20="","",IF($B$2="Apprenticeship",SUMIF('Points Lookup'!$AJ:$AJ,B20,'Points Lookup'!$AL:$AL),IF(AND(OR($B$2="New Consultant Contract"),$B20&lt;&gt;""),INDEX('Points Lookup'!$T:$T,MATCH($B20,'Points Lookup'!$S:$S,0)),IF(AND(OR($B$2="Clinical Lecturer / Medical Research Fellow",$B$2="Clinical Consultant - Old Contract (GP)"),$B20&lt;&gt;""),INDEX('Points Lookup'!$Q:$Q,MATCH($B20,'Points Lookup'!$P:$P,0)),IF(AND(OR($B$2="APM Level 7",$B$2="R&amp;T Level 7",$B$2="APM Level 8",$B$2="Technical Services Level 7"),B20&lt;&gt;""),INDEX('Points Lookup'!$H:$H,MATCH($AA20,'Points Lookup'!$AN:$AN,0)),IF($B$2="R&amp;T Level 5 - Clinical Lecturers (Vet School)",SUMIF('Points Lookup'!$V:$V,$B20,'Points Lookup'!$Y:$Y),IF($B$2="R&amp;T Level 6 - Clinical Associate Professors and Clinical Readers (Vet School)",SUMIF('Points Lookup'!$AC:$AC,$B20,'Points Lookup'!$AF:$AF),IFERROR(INDEX('Points Lookup'!$B:$B,MATCH($AA20,'Points Lookup'!$AN:$AN,0)),""))))))))</f>
        <v/>
      </c>
      <c r="D20" s="82" t="str">
        <f ca="1">IF(B20="","",IF(AND($B$3="Y",B20&lt;7),VLOOKUP($B20,Thresholds_Rates!$I$15:$J$18,2,FALSE),"-"))</f>
        <v/>
      </c>
      <c r="E20" s="81"/>
      <c r="F20" s="81" t="str">
        <f ca="1">IF($B20="","",IF(AND($B$2="Salary Points 3 to 57",B20&lt;Thresholds_Rates!$C$16),"-",IF(SUMIF(Grades!$A:$A,$B$2,Grades!$BO:$BO)=0,"-",IF(AND($B$2="Salary Points 3 to 57",B20&gt;=Thresholds_Rates!$C$16),$C20*Thresholds_Rates!$F$15,IF(AND(OR($B$2="New Consultant Contract"),$B20&lt;&gt;""),$C20*Thresholds_Rates!$F$15,IF(AND(OR($B$2="Clinical Lecturer / Medical Research Fellow",$B$2="Clinical Consultant - Old Contract (GP)"),$B20&lt;&gt;""),$C20*Thresholds_Rates!$F$15,IF(OR($B$2="APM Level 7",$B$2="R&amp;T Level 7"),$C20*Thresholds_Rates!$F$15,IF(SUMIF(Grades!$A:$A,$B$2,Grades!$BO:$BO)=1,$C20*Thresholds_Rates!$F$15,""))))))))</f>
        <v/>
      </c>
      <c r="G20" s="81" t="str">
        <f ca="1">IF(B20="","",IF($B$2="Salary Points 3 to 57","-",IF(SUMIF(Grades!$A:$A,$B$2,Grades!$BP:$BP)=0,"-",IF(AND(OR($B$2="New Consultant Contract"),$B20&lt;&gt;""),$C20*Thresholds_Rates!$F$16,IF(AND(OR($B$2="Clinical Lecturer / Medical Research Fellow",$B$2="Clinical Consultant - Old Contract (GP)"),$B20&lt;&gt;""),$C20*Thresholds_Rates!$F$16,IF(AND(OR($B$2="APM Level 7",$B$2="R&amp;T Level 7"),F20&lt;&gt;""),$C20*Thresholds_Rates!$F$16,IF(SUMIF(Grades!$A:$A,$B$2,Grades!$BP:$BP)=1,$C20*Thresholds_Rates!$F$16,"")))))))</f>
        <v/>
      </c>
      <c r="H20" s="81" t="str">
        <f ca="1">IF($B$2="Apprenticeship","-",IF(B20="","",IF(SUMIF(Grades!$A:$A,$B$2,Grades!$BQ:$BQ)=0,"-",IF(AND($B$2="Salary Points 3 to 57",B20&gt;Thresholds_Rates!$C$17),"-",IF(AND($B$2="Salary Points 3 to 57",B20&lt;=Thresholds_Rates!$C$17),$C20*Thresholds_Rates!$F$17,IF(AND(OR($B$2="New Consultant Contract"),$B20&lt;&gt;""),$C20*Thresholds_Rates!$F$17,IF(AND(OR($B$2="Clinical Lecturer / Medical Research Fellow",$B$2="Clinical Consultant - Old Contract (GP)"),$B20&lt;&gt;""),$C20*Thresholds_Rates!$F$17,IF(AND(OR($B$2="APM Level 7",$B$2="R&amp;T Level 7"),G20&lt;&gt;""),$C20*Thresholds_Rates!$F$17,IF(SUMIF(Grades!$A:$A,$B$2,Grades!$BQ:$BQ)=1,$C20*Thresholds_Rates!$F$17,"")))))))))</f>
        <v/>
      </c>
      <c r="I20" s="81" t="str">
        <f ca="1">IF($B20="","",ROUND(($C20-(Thresholds_Rates!$C$5*12))*Thresholds_Rates!$C$10,0))</f>
        <v/>
      </c>
      <c r="J20" s="81" t="str">
        <f ca="1">IF(B20="","",(C20*Thresholds_Rates!$C$12))</f>
        <v/>
      </c>
      <c r="K20" s="81" t="str">
        <f ca="1">IF(B20="","",IF(AND($B$2="Salary Points 3 to 57",B20&gt;Thresholds_Rates!$C$17),"-",IF(SUMIF(Grades!$A:$A,$B$2,Grades!$BR:$BR)=0,"-",IF(AND($B$2="Salary Points 3 to 57",B20&lt;=Thresholds_Rates!$C$17),$C20*Thresholds_Rates!$F$18,IF(AND(OR($B$2="New Consultant Contract"),$B20&lt;&gt;""),$C20*Thresholds_Rates!$F$18,IF(AND(OR($B$2="Clinical Lecturer / Medical Research Fellow",$B$2="Clinical Consultant - Old Contract (GP)"),$B20&lt;&gt;""),$C20*Thresholds_Rates!$F$18,IF(AND(OR($B$2="APM Level 7",$B$2="R&amp;T Level 7"),I20&lt;&gt;""),$C20*Thresholds_Rates!$F$18,IF(SUMIF(Grades!$A:$A,$B$2,Grades!$BQ:$BQ)=1,$C20*Thresholds_Rates!$F$18,""))))))))</f>
        <v/>
      </c>
      <c r="L20" s="68"/>
      <c r="M20" s="81" t="str">
        <f t="shared" ca="1" si="0"/>
        <v/>
      </c>
      <c r="N20" s="81" t="str">
        <f t="shared" ca="1" si="1"/>
        <v/>
      </c>
      <c r="O20" s="81" t="str">
        <f t="shared" ca="1" si="2"/>
        <v/>
      </c>
      <c r="P20" s="81" t="str">
        <f t="shared" ca="1" si="3"/>
        <v/>
      </c>
      <c r="Q20" s="81" t="str">
        <f t="shared" ca="1" si="4"/>
        <v/>
      </c>
      <c r="S20" s="83" t="str">
        <f ca="1">IF(B20="","",IF($B$2="R&amp;T Level 5 - Clinical Lecturers (Vet School)",SUMIF('Points Lookup'!$V:$V,$B20,'Points Lookup'!$W:$W),IF($B$2="R&amp;T Level 6 - Clinical Associate Professors and Clinical Readers (Vet School)",SUMIF('Points Lookup'!$AC:$AC,$B20,'Points Lookup'!$AD:$AD),"")))</f>
        <v/>
      </c>
      <c r="T20" s="84" t="str">
        <f ca="1">IF(B20="","",IF($B$2="R&amp;T Level 5 - Clinical Lecturers (Vet School)",$C20-SUMIF('Points Lookup'!$V:$V,$B20,'Points Lookup'!$X:$X),IF($B$2="R&amp;T Level 6 - Clinical Associate Professors and Clinical Readers (Vet School)",$C20-SUMIF('Points Lookup'!$AC:$AC,$B20,'Points Lookup'!$AE:$AE),"")))</f>
        <v/>
      </c>
      <c r="U20" s="83" t="str">
        <f ca="1">IF(B20="","",IF($B$2="R&amp;T Level 5 - Clinical Lecturers (Vet School)",SUMIF('Points Lookup'!$V:$V,$B20,'Points Lookup'!$Z:$Z),IF($B$2="R&amp;T Level 6 - Clinical Associate Professors and Clinical Readers (Vet School)",SUMIF('Points Lookup'!$AC:$AC,$B20,'Points Lookup'!$AG:$AG),"")))</f>
        <v/>
      </c>
      <c r="V20" s="84" t="str">
        <f t="shared" ca="1" si="5"/>
        <v/>
      </c>
      <c r="AA20" s="39">
        <v>14</v>
      </c>
    </row>
    <row r="21" spans="2:27" x14ac:dyDescent="0.25">
      <c r="B21" s="68" t="str">
        <f ca="1">IFERROR(INDEX('Points Lookup'!$A:$A,MATCH($AA21,'Points Lookup'!$AN:$AN,0)),"")</f>
        <v/>
      </c>
      <c r="C21" s="81" t="str">
        <f ca="1">IF(B21="","",IF($B$2="Apprenticeship",SUMIF('Points Lookup'!$AJ:$AJ,B21,'Points Lookup'!$AL:$AL),IF(AND(OR($B$2="New Consultant Contract"),$B21&lt;&gt;""),INDEX('Points Lookup'!$T:$T,MATCH($B21,'Points Lookup'!$S:$S,0)),IF(AND(OR($B$2="Clinical Lecturer / Medical Research Fellow",$B$2="Clinical Consultant - Old Contract (GP)"),$B21&lt;&gt;""),INDEX('Points Lookup'!$Q:$Q,MATCH($B21,'Points Lookup'!$P:$P,0)),IF(AND(OR($B$2="APM Level 7",$B$2="R&amp;T Level 7",$B$2="APM Level 8",$B$2="Technical Services Level 7"),B21&lt;&gt;""),INDEX('Points Lookup'!$H:$H,MATCH($AA21,'Points Lookup'!$AN:$AN,0)),IF($B$2="R&amp;T Level 5 - Clinical Lecturers (Vet School)",SUMIF('Points Lookup'!$V:$V,$B21,'Points Lookup'!$Y:$Y),IF($B$2="R&amp;T Level 6 - Clinical Associate Professors and Clinical Readers (Vet School)",SUMIF('Points Lookup'!$AC:$AC,$B21,'Points Lookup'!$AF:$AF),IFERROR(INDEX('Points Lookup'!$B:$B,MATCH($AA21,'Points Lookup'!$AN:$AN,0)),""))))))))</f>
        <v/>
      </c>
      <c r="D21" s="82" t="str">
        <f ca="1">IF(B21="","",IF(AND($B$3="Y",B21&lt;7),VLOOKUP($B21,Thresholds_Rates!$I$15:$J$18,2,FALSE),"-"))</f>
        <v/>
      </c>
      <c r="E21" s="81"/>
      <c r="F21" s="81" t="str">
        <f ca="1">IF($B21="","",IF(AND($B$2="Salary Points 3 to 57",B21&lt;Thresholds_Rates!$C$16),"-",IF(SUMIF(Grades!$A:$A,$B$2,Grades!$BO:$BO)=0,"-",IF(AND($B$2="Salary Points 3 to 57",B21&gt;=Thresholds_Rates!$C$16),$C21*Thresholds_Rates!$F$15,IF(AND(OR($B$2="New Consultant Contract"),$B21&lt;&gt;""),$C21*Thresholds_Rates!$F$15,IF(AND(OR($B$2="Clinical Lecturer / Medical Research Fellow",$B$2="Clinical Consultant - Old Contract (GP)"),$B21&lt;&gt;""),$C21*Thresholds_Rates!$F$15,IF(OR($B$2="APM Level 7",$B$2="R&amp;T Level 7"),$C21*Thresholds_Rates!$F$15,IF(SUMIF(Grades!$A:$A,$B$2,Grades!$BO:$BO)=1,$C21*Thresholds_Rates!$F$15,""))))))))</f>
        <v/>
      </c>
      <c r="G21" s="81" t="str">
        <f ca="1">IF(B21="","",IF($B$2="Salary Points 3 to 57","-",IF(SUMIF(Grades!$A:$A,$B$2,Grades!$BP:$BP)=0,"-",IF(AND(OR($B$2="New Consultant Contract"),$B21&lt;&gt;""),$C21*Thresholds_Rates!$F$16,IF(AND(OR($B$2="Clinical Lecturer / Medical Research Fellow",$B$2="Clinical Consultant - Old Contract (GP)"),$B21&lt;&gt;""),$C21*Thresholds_Rates!$F$16,IF(AND(OR($B$2="APM Level 7",$B$2="R&amp;T Level 7"),F21&lt;&gt;""),$C21*Thresholds_Rates!$F$16,IF(SUMIF(Grades!$A:$A,$B$2,Grades!$BP:$BP)=1,$C21*Thresholds_Rates!$F$16,"")))))))</f>
        <v/>
      </c>
      <c r="H21" s="81" t="str">
        <f ca="1">IF($B$2="Apprenticeship","-",IF(B21="","",IF(SUMIF(Grades!$A:$A,$B$2,Grades!$BQ:$BQ)=0,"-",IF(AND($B$2="Salary Points 3 to 57",B21&gt;Thresholds_Rates!$C$17),"-",IF(AND($B$2="Salary Points 3 to 57",B21&lt;=Thresholds_Rates!$C$17),$C21*Thresholds_Rates!$F$17,IF(AND(OR($B$2="New Consultant Contract"),$B21&lt;&gt;""),$C21*Thresholds_Rates!$F$17,IF(AND(OR($B$2="Clinical Lecturer / Medical Research Fellow",$B$2="Clinical Consultant - Old Contract (GP)"),$B21&lt;&gt;""),$C21*Thresholds_Rates!$F$17,IF(AND(OR($B$2="APM Level 7",$B$2="R&amp;T Level 7"),G21&lt;&gt;""),$C21*Thresholds_Rates!$F$17,IF(SUMIF(Grades!$A:$A,$B$2,Grades!$BQ:$BQ)=1,$C21*Thresholds_Rates!$F$17,"")))))))))</f>
        <v/>
      </c>
      <c r="I21" s="81" t="str">
        <f ca="1">IF($B21="","",ROUND(($C21-(Thresholds_Rates!$C$5*12))*Thresholds_Rates!$C$10,0))</f>
        <v/>
      </c>
      <c r="J21" s="81" t="str">
        <f ca="1">IF(B21="","",(C21*Thresholds_Rates!$C$12))</f>
        <v/>
      </c>
      <c r="K21" s="81" t="str">
        <f ca="1">IF(B21="","",IF(AND($B$2="Salary Points 3 to 57",B21&gt;Thresholds_Rates!$C$17),"-",IF(SUMIF(Grades!$A:$A,$B$2,Grades!$BR:$BR)=0,"-",IF(AND($B$2="Salary Points 3 to 57",B21&lt;=Thresholds_Rates!$C$17),$C21*Thresholds_Rates!$F$18,IF(AND(OR($B$2="New Consultant Contract"),$B21&lt;&gt;""),$C21*Thresholds_Rates!$F$18,IF(AND(OR($B$2="Clinical Lecturer / Medical Research Fellow",$B$2="Clinical Consultant - Old Contract (GP)"),$B21&lt;&gt;""),$C21*Thresholds_Rates!$F$18,IF(AND(OR($B$2="APM Level 7",$B$2="R&amp;T Level 7"),I21&lt;&gt;""),$C21*Thresholds_Rates!$F$18,IF(SUMIF(Grades!$A:$A,$B$2,Grades!$BQ:$BQ)=1,$C21*Thresholds_Rates!$F$18,""))))))))</f>
        <v/>
      </c>
      <c r="L21" s="68"/>
      <c r="M21" s="81" t="str">
        <f t="shared" ca="1" si="0"/>
        <v/>
      </c>
      <c r="N21" s="81" t="str">
        <f t="shared" ca="1" si="1"/>
        <v/>
      </c>
      <c r="O21" s="81" t="str">
        <f t="shared" ca="1" si="2"/>
        <v/>
      </c>
      <c r="P21" s="81" t="str">
        <f t="shared" ca="1" si="3"/>
        <v/>
      </c>
      <c r="Q21" s="81" t="str">
        <f t="shared" ca="1" si="4"/>
        <v/>
      </c>
      <c r="S21" s="83" t="str">
        <f ca="1">IF(B21="","",IF($B$2="R&amp;T Level 5 - Clinical Lecturers (Vet School)",SUMIF('Points Lookup'!$V:$V,$B21,'Points Lookup'!$W:$W),IF($B$2="R&amp;T Level 6 - Clinical Associate Professors and Clinical Readers (Vet School)",SUMIF('Points Lookup'!$AC:$AC,$B21,'Points Lookup'!$AD:$AD),"")))</f>
        <v/>
      </c>
      <c r="T21" s="84" t="str">
        <f ca="1">IF(B21="","",IF($B$2="R&amp;T Level 5 - Clinical Lecturers (Vet School)",$C21-SUMIF('Points Lookup'!$V:$V,$B21,'Points Lookup'!$X:$X),IF($B$2="R&amp;T Level 6 - Clinical Associate Professors and Clinical Readers (Vet School)",$C21-SUMIF('Points Lookup'!$AC:$AC,$B21,'Points Lookup'!$AE:$AE),"")))</f>
        <v/>
      </c>
      <c r="U21" s="83" t="str">
        <f ca="1">IF(B21="","",IF($B$2="R&amp;T Level 5 - Clinical Lecturers (Vet School)",SUMIF('Points Lookup'!$V:$V,$B21,'Points Lookup'!$Z:$Z),IF($B$2="R&amp;T Level 6 - Clinical Associate Professors and Clinical Readers (Vet School)",SUMIF('Points Lookup'!$AC:$AC,$B21,'Points Lookup'!$AG:$AG),"")))</f>
        <v/>
      </c>
      <c r="V21" s="84" t="str">
        <f t="shared" ca="1" si="5"/>
        <v/>
      </c>
      <c r="AA21" s="39">
        <v>15</v>
      </c>
    </row>
    <row r="22" spans="2:27" x14ac:dyDescent="0.25">
      <c r="B22" s="68" t="str">
        <f ca="1">IFERROR(INDEX('Points Lookup'!$A:$A,MATCH($AA22,'Points Lookup'!$AN:$AN,0)),"")</f>
        <v/>
      </c>
      <c r="C22" s="81" t="str">
        <f ca="1">IF(B22="","",IF($B$2="Apprenticeship",SUMIF('Points Lookup'!$AJ:$AJ,B22,'Points Lookup'!$AL:$AL),IF(AND(OR($B$2="New Consultant Contract"),$B22&lt;&gt;""),INDEX('Points Lookup'!$T:$T,MATCH($B22,'Points Lookup'!$S:$S,0)),IF(AND(OR($B$2="Clinical Lecturer / Medical Research Fellow",$B$2="Clinical Consultant - Old Contract (GP)"),$B22&lt;&gt;""),INDEX('Points Lookup'!$Q:$Q,MATCH($B22,'Points Lookup'!$P:$P,0)),IF(AND(OR($B$2="APM Level 7",$B$2="R&amp;T Level 7",$B$2="APM Level 8",$B$2="Technical Services Level 7"),B22&lt;&gt;""),INDEX('Points Lookup'!$H:$H,MATCH($AA22,'Points Lookup'!$AN:$AN,0)),IF($B$2="R&amp;T Level 5 - Clinical Lecturers (Vet School)",SUMIF('Points Lookup'!$V:$V,$B22,'Points Lookup'!$Y:$Y),IF($B$2="R&amp;T Level 6 - Clinical Associate Professors and Clinical Readers (Vet School)",SUMIF('Points Lookup'!$AC:$AC,$B22,'Points Lookup'!$AF:$AF),IFERROR(INDEX('Points Lookup'!$B:$B,MATCH($AA22,'Points Lookup'!$AN:$AN,0)),""))))))))</f>
        <v/>
      </c>
      <c r="D22" s="82" t="str">
        <f ca="1">IF(B22="","",IF(AND($B$3="Y",B22&lt;7),VLOOKUP($B22,Thresholds_Rates!$I$15:$J$18,2,FALSE),"-"))</f>
        <v/>
      </c>
      <c r="E22" s="81"/>
      <c r="F22" s="81" t="str">
        <f ca="1">IF($B22="","",IF(AND($B$2="Salary Points 3 to 57",B22&lt;Thresholds_Rates!$C$16),"-",IF(SUMIF(Grades!$A:$A,$B$2,Grades!$BO:$BO)=0,"-",IF(AND($B$2="Salary Points 3 to 57",B22&gt;=Thresholds_Rates!$C$16),$C22*Thresholds_Rates!$F$15,IF(AND(OR($B$2="New Consultant Contract"),$B22&lt;&gt;""),$C22*Thresholds_Rates!$F$15,IF(AND(OR($B$2="Clinical Lecturer / Medical Research Fellow",$B$2="Clinical Consultant - Old Contract (GP)"),$B22&lt;&gt;""),$C22*Thresholds_Rates!$F$15,IF(OR($B$2="APM Level 7",$B$2="R&amp;T Level 7"),$C22*Thresholds_Rates!$F$15,IF(SUMIF(Grades!$A:$A,$B$2,Grades!$BO:$BO)=1,$C22*Thresholds_Rates!$F$15,""))))))))</f>
        <v/>
      </c>
      <c r="G22" s="81" t="str">
        <f ca="1">IF(B22="","",IF($B$2="Salary Points 3 to 57","-",IF(SUMIF(Grades!$A:$A,$B$2,Grades!$BP:$BP)=0,"-",IF(AND(OR($B$2="New Consultant Contract"),$B22&lt;&gt;""),$C22*Thresholds_Rates!$F$16,IF(AND(OR($B$2="Clinical Lecturer / Medical Research Fellow",$B$2="Clinical Consultant - Old Contract (GP)"),$B22&lt;&gt;""),$C22*Thresholds_Rates!$F$16,IF(AND(OR($B$2="APM Level 7",$B$2="R&amp;T Level 7"),F22&lt;&gt;""),$C22*Thresholds_Rates!$F$16,IF(SUMIF(Grades!$A:$A,$B$2,Grades!$BP:$BP)=1,$C22*Thresholds_Rates!$F$16,"")))))))</f>
        <v/>
      </c>
      <c r="H22" s="81" t="str">
        <f ca="1">IF($B$2="Apprenticeship","-",IF(B22="","",IF(SUMIF(Grades!$A:$A,$B$2,Grades!$BQ:$BQ)=0,"-",IF(AND($B$2="Salary Points 3 to 57",B22&gt;Thresholds_Rates!$C$17),"-",IF(AND($B$2="Salary Points 3 to 57",B22&lt;=Thresholds_Rates!$C$17),$C22*Thresholds_Rates!$F$17,IF(AND(OR($B$2="New Consultant Contract"),$B22&lt;&gt;""),$C22*Thresholds_Rates!$F$17,IF(AND(OR($B$2="Clinical Lecturer / Medical Research Fellow",$B$2="Clinical Consultant - Old Contract (GP)"),$B22&lt;&gt;""),$C22*Thresholds_Rates!$F$17,IF(AND(OR($B$2="APM Level 7",$B$2="R&amp;T Level 7"),G22&lt;&gt;""),$C22*Thresholds_Rates!$F$17,IF(SUMIF(Grades!$A:$A,$B$2,Grades!$BQ:$BQ)=1,$C22*Thresholds_Rates!$F$17,"")))))))))</f>
        <v/>
      </c>
      <c r="I22" s="81" t="str">
        <f ca="1">IF($B22="","",ROUND(($C22-(Thresholds_Rates!$C$5*12))*Thresholds_Rates!$C$10,0))</f>
        <v/>
      </c>
      <c r="J22" s="81" t="str">
        <f ca="1">IF(B22="","",(C22*Thresholds_Rates!$C$12))</f>
        <v/>
      </c>
      <c r="K22" s="81" t="str">
        <f ca="1">IF(B22="","",IF(AND($B$2="Salary Points 3 to 57",B22&gt;Thresholds_Rates!$C$17),"-",IF(SUMIF(Grades!$A:$A,$B$2,Grades!$BR:$BR)=0,"-",IF(AND($B$2="Salary Points 3 to 57",B22&lt;=Thresholds_Rates!$C$17),$C22*Thresholds_Rates!$F$18,IF(AND(OR($B$2="New Consultant Contract"),$B22&lt;&gt;""),$C22*Thresholds_Rates!$F$18,IF(AND(OR($B$2="Clinical Lecturer / Medical Research Fellow",$B$2="Clinical Consultant - Old Contract (GP)"),$B22&lt;&gt;""),$C22*Thresholds_Rates!$F$18,IF(AND(OR($B$2="APM Level 7",$B$2="R&amp;T Level 7"),I22&lt;&gt;""),$C22*Thresholds_Rates!$F$18,IF(SUMIF(Grades!$A:$A,$B$2,Grades!$BQ:$BQ)=1,$C22*Thresholds_Rates!$F$18,""))))))))</f>
        <v/>
      </c>
      <c r="L22" s="68"/>
      <c r="M22" s="81" t="str">
        <f t="shared" ca="1" si="0"/>
        <v/>
      </c>
      <c r="N22" s="81" t="str">
        <f t="shared" ca="1" si="1"/>
        <v/>
      </c>
      <c r="O22" s="81" t="str">
        <f t="shared" ca="1" si="2"/>
        <v/>
      </c>
      <c r="P22" s="81" t="str">
        <f t="shared" ca="1" si="3"/>
        <v/>
      </c>
      <c r="Q22" s="81" t="str">
        <f t="shared" ca="1" si="4"/>
        <v/>
      </c>
      <c r="S22" s="83" t="str">
        <f ca="1">IF(B22="","",IF($B$2="R&amp;T Level 5 - Clinical Lecturers (Vet School)",SUMIF('Points Lookup'!$V:$V,$B22,'Points Lookup'!$W:$W),IF($B$2="R&amp;T Level 6 - Clinical Associate Professors and Clinical Readers (Vet School)",SUMIF('Points Lookup'!$AC:$AC,$B22,'Points Lookup'!$AD:$AD),"")))</f>
        <v/>
      </c>
      <c r="T22" s="84" t="str">
        <f ca="1">IF(B22="","",IF($B$2="R&amp;T Level 5 - Clinical Lecturers (Vet School)",$C22-SUMIF('Points Lookup'!$V:$V,$B22,'Points Lookup'!$X:$X),IF($B$2="R&amp;T Level 6 - Clinical Associate Professors and Clinical Readers (Vet School)",$C22-SUMIF('Points Lookup'!$AC:$AC,$B22,'Points Lookup'!$AE:$AE),"")))</f>
        <v/>
      </c>
      <c r="U22" s="83" t="str">
        <f ca="1">IF(B22="","",IF($B$2="R&amp;T Level 5 - Clinical Lecturers (Vet School)",SUMIF('Points Lookup'!$V:$V,$B22,'Points Lookup'!$Z:$Z),IF($B$2="R&amp;T Level 6 - Clinical Associate Professors and Clinical Readers (Vet School)",SUMIF('Points Lookup'!$AC:$AC,$B22,'Points Lookup'!$AG:$AG),"")))</f>
        <v/>
      </c>
      <c r="V22" s="84" t="str">
        <f t="shared" ca="1" si="5"/>
        <v/>
      </c>
      <c r="AA22" s="39">
        <v>16</v>
      </c>
    </row>
    <row r="23" spans="2:27" x14ac:dyDescent="0.25">
      <c r="B23" s="68" t="str">
        <f ca="1">IFERROR(INDEX('Points Lookup'!$A:$A,MATCH($AA23,'Points Lookup'!$AN:$AN,0)),"")</f>
        <v/>
      </c>
      <c r="C23" s="81" t="str">
        <f ca="1">IF(B23="","",IF($B$2="Apprenticeship",SUMIF('Points Lookup'!$AJ:$AJ,B23,'Points Lookup'!$AL:$AL),IF(AND(OR($B$2="New Consultant Contract"),$B23&lt;&gt;""),INDEX('Points Lookup'!$T:$T,MATCH($B23,'Points Lookup'!$S:$S,0)),IF(AND(OR($B$2="Clinical Lecturer / Medical Research Fellow",$B$2="Clinical Consultant - Old Contract (GP)"),$B23&lt;&gt;""),INDEX('Points Lookup'!$Q:$Q,MATCH($B23,'Points Lookup'!$P:$P,0)),IF(AND(OR($B$2="APM Level 7",$B$2="R&amp;T Level 7",$B$2="APM Level 8",$B$2="Technical Services Level 7"),B23&lt;&gt;""),INDEX('Points Lookup'!$H:$H,MATCH($AA23,'Points Lookup'!$AN:$AN,0)),IF($B$2="R&amp;T Level 5 - Clinical Lecturers (Vet School)",SUMIF('Points Lookup'!$V:$V,$B23,'Points Lookup'!$Y:$Y),IF($B$2="R&amp;T Level 6 - Clinical Associate Professors and Clinical Readers (Vet School)",SUMIF('Points Lookup'!$AC:$AC,$B23,'Points Lookup'!$AF:$AF),IFERROR(INDEX('Points Lookup'!$B:$B,MATCH($AA23,'Points Lookup'!$AN:$AN,0)),""))))))))</f>
        <v/>
      </c>
      <c r="D23" s="82" t="str">
        <f ca="1">IF(B23="","",IF(AND($B$3="Y",B23&lt;7),VLOOKUP($B23,Thresholds_Rates!$I$15:$J$18,2,FALSE),"-"))</f>
        <v/>
      </c>
      <c r="E23" s="81"/>
      <c r="F23" s="81" t="str">
        <f ca="1">IF($B23="","",IF(AND($B$2="Salary Points 3 to 57",B23&lt;Thresholds_Rates!$C$16),"-",IF(SUMIF(Grades!$A:$A,$B$2,Grades!$BO:$BO)=0,"-",IF(AND($B$2="Salary Points 3 to 57",B23&gt;=Thresholds_Rates!$C$16),$C23*Thresholds_Rates!$F$15,IF(AND(OR($B$2="New Consultant Contract"),$B23&lt;&gt;""),$C23*Thresholds_Rates!$F$15,IF(AND(OR($B$2="Clinical Lecturer / Medical Research Fellow",$B$2="Clinical Consultant - Old Contract (GP)"),$B23&lt;&gt;""),$C23*Thresholds_Rates!$F$15,IF(OR($B$2="APM Level 7",$B$2="R&amp;T Level 7"),$C23*Thresholds_Rates!$F$15,IF(SUMIF(Grades!$A:$A,$B$2,Grades!$BO:$BO)=1,$C23*Thresholds_Rates!$F$15,""))))))))</f>
        <v/>
      </c>
      <c r="G23" s="81" t="str">
        <f ca="1">IF(B23="","",IF($B$2="Salary Points 3 to 57","-",IF(SUMIF(Grades!$A:$A,$B$2,Grades!$BP:$BP)=0,"-",IF(AND(OR($B$2="New Consultant Contract"),$B23&lt;&gt;""),$C23*Thresholds_Rates!$F$16,IF(AND(OR($B$2="Clinical Lecturer / Medical Research Fellow",$B$2="Clinical Consultant - Old Contract (GP)"),$B23&lt;&gt;""),$C23*Thresholds_Rates!$F$16,IF(AND(OR($B$2="APM Level 7",$B$2="R&amp;T Level 7"),F23&lt;&gt;""),$C23*Thresholds_Rates!$F$16,IF(SUMIF(Grades!$A:$A,$B$2,Grades!$BP:$BP)=1,$C23*Thresholds_Rates!$F$16,"")))))))</f>
        <v/>
      </c>
      <c r="H23" s="81" t="str">
        <f ca="1">IF($B$2="Apprenticeship","-",IF(B23="","",IF(SUMIF(Grades!$A:$A,$B$2,Grades!$BQ:$BQ)=0,"-",IF(AND($B$2="Salary Points 3 to 57",B23&gt;Thresholds_Rates!$C$17),"-",IF(AND($B$2="Salary Points 3 to 57",B23&lt;=Thresholds_Rates!$C$17),$C23*Thresholds_Rates!$F$17,IF(AND(OR($B$2="New Consultant Contract"),$B23&lt;&gt;""),$C23*Thresholds_Rates!$F$17,IF(AND(OR($B$2="Clinical Lecturer / Medical Research Fellow",$B$2="Clinical Consultant - Old Contract (GP)"),$B23&lt;&gt;""),$C23*Thresholds_Rates!$F$17,IF(AND(OR($B$2="APM Level 7",$B$2="R&amp;T Level 7"),G23&lt;&gt;""),$C23*Thresholds_Rates!$F$17,IF(SUMIF(Grades!$A:$A,$B$2,Grades!$BQ:$BQ)=1,$C23*Thresholds_Rates!$F$17,"")))))))))</f>
        <v/>
      </c>
      <c r="I23" s="81" t="str">
        <f ca="1">IF($B23="","",ROUND(($C23-(Thresholds_Rates!$C$5*12))*Thresholds_Rates!$C$10,0))</f>
        <v/>
      </c>
      <c r="J23" s="81" t="str">
        <f ca="1">IF(B23="","",(C23*Thresholds_Rates!$C$12))</f>
        <v/>
      </c>
      <c r="K23" s="81" t="str">
        <f ca="1">IF(B23="","",IF(AND($B$2="Salary Points 3 to 57",B23&gt;Thresholds_Rates!$C$17),"-",IF(SUMIF(Grades!$A:$A,$B$2,Grades!$BR:$BR)=0,"-",IF(AND($B$2="Salary Points 3 to 57",B23&lt;=Thresholds_Rates!$C$17),$C23*Thresholds_Rates!$F$18,IF(AND(OR($B$2="New Consultant Contract"),$B23&lt;&gt;""),$C23*Thresholds_Rates!$F$18,IF(AND(OR($B$2="Clinical Lecturer / Medical Research Fellow",$B$2="Clinical Consultant - Old Contract (GP)"),$B23&lt;&gt;""),$C23*Thresholds_Rates!$F$18,IF(AND(OR($B$2="APM Level 7",$B$2="R&amp;T Level 7"),I23&lt;&gt;""),$C23*Thresholds_Rates!$F$18,IF(SUMIF(Grades!$A:$A,$B$2,Grades!$BQ:$BQ)=1,$C23*Thresholds_Rates!$F$18,""))))))))</f>
        <v/>
      </c>
      <c r="L23" s="68"/>
      <c r="M23" s="81" t="str">
        <f t="shared" ca="1" si="0"/>
        <v/>
      </c>
      <c r="N23" s="81" t="str">
        <f t="shared" ca="1" si="1"/>
        <v/>
      </c>
      <c r="O23" s="81" t="str">
        <f t="shared" ca="1" si="2"/>
        <v/>
      </c>
      <c r="P23" s="81" t="str">
        <f t="shared" ca="1" si="3"/>
        <v/>
      </c>
      <c r="Q23" s="81" t="str">
        <f t="shared" ca="1" si="4"/>
        <v/>
      </c>
      <c r="S23" s="83" t="str">
        <f ca="1">IF(B23="","",IF($B$2="R&amp;T Level 5 - Clinical Lecturers (Vet School)",SUMIF('Points Lookup'!$V:$V,$B23,'Points Lookup'!$W:$W),IF($B$2="R&amp;T Level 6 - Clinical Associate Professors and Clinical Readers (Vet School)",SUMIF('Points Lookup'!$AC:$AC,$B23,'Points Lookup'!$AD:$AD),"")))</f>
        <v/>
      </c>
      <c r="T23" s="84" t="str">
        <f ca="1">IF(B23="","",IF($B$2="R&amp;T Level 5 - Clinical Lecturers (Vet School)",$C23-SUMIF('Points Lookup'!$V:$V,$B23,'Points Lookup'!$X:$X),IF($B$2="R&amp;T Level 6 - Clinical Associate Professors and Clinical Readers (Vet School)",$C23-SUMIF('Points Lookup'!$AC:$AC,$B23,'Points Lookup'!$AE:$AE),"")))</f>
        <v/>
      </c>
      <c r="U23" s="83" t="str">
        <f ca="1">IF(B23="","",IF($B$2="R&amp;T Level 5 - Clinical Lecturers (Vet School)",SUMIF('Points Lookup'!$V:$V,$B23,'Points Lookup'!$Z:$Z),IF($B$2="R&amp;T Level 6 - Clinical Associate Professors and Clinical Readers (Vet School)",SUMIF('Points Lookup'!$AC:$AC,$B23,'Points Lookup'!$AG:$AG),"")))</f>
        <v/>
      </c>
      <c r="V23" s="84" t="str">
        <f t="shared" ca="1" si="5"/>
        <v/>
      </c>
      <c r="AA23" s="39">
        <v>17</v>
      </c>
    </row>
    <row r="24" spans="2:27" x14ac:dyDescent="0.25">
      <c r="B24" s="68" t="str">
        <f ca="1">IFERROR(INDEX('Points Lookup'!$A:$A,MATCH($AA24,'Points Lookup'!$AN:$AN,0)),"")</f>
        <v/>
      </c>
      <c r="C24" s="81" t="str">
        <f ca="1">IF(B24="","",IF($B$2="Apprenticeship",SUMIF('Points Lookup'!$AJ:$AJ,B24,'Points Lookup'!$AL:$AL),IF(AND(OR($B$2="New Consultant Contract"),$B24&lt;&gt;""),INDEX('Points Lookup'!$T:$T,MATCH($B24,'Points Lookup'!$S:$S,0)),IF(AND(OR($B$2="Clinical Lecturer / Medical Research Fellow",$B$2="Clinical Consultant - Old Contract (GP)"),$B24&lt;&gt;""),INDEX('Points Lookup'!$Q:$Q,MATCH($B24,'Points Lookup'!$P:$P,0)),IF(AND(OR($B$2="APM Level 7",$B$2="R&amp;T Level 7",$B$2="APM Level 8",$B$2="Technical Services Level 7"),B24&lt;&gt;""),INDEX('Points Lookup'!$H:$H,MATCH($AA24,'Points Lookup'!$AN:$AN,0)),IF($B$2="R&amp;T Level 5 - Clinical Lecturers (Vet School)",SUMIF('Points Lookup'!$V:$V,$B24,'Points Lookup'!$Y:$Y),IF($B$2="R&amp;T Level 6 - Clinical Associate Professors and Clinical Readers (Vet School)",SUMIF('Points Lookup'!$AC:$AC,$B24,'Points Lookup'!$AF:$AF),IFERROR(INDEX('Points Lookup'!$B:$B,MATCH($AA24,'Points Lookup'!$AN:$AN,0)),""))))))))</f>
        <v/>
      </c>
      <c r="D24" s="82" t="str">
        <f ca="1">IF(B24="","",IF(AND($B$3="Y",B24&lt;7),VLOOKUP($B24,Thresholds_Rates!$I$15:$J$18,2,FALSE),"-"))</f>
        <v/>
      </c>
      <c r="E24" s="81"/>
      <c r="F24" s="81" t="str">
        <f ca="1">IF($B24="","",IF(AND($B$2="Salary Points 3 to 57",B24&lt;Thresholds_Rates!$C$16),"-",IF(SUMIF(Grades!$A:$A,$B$2,Grades!$BO:$BO)=0,"-",IF(AND($B$2="Salary Points 3 to 57",B24&gt;=Thresholds_Rates!$C$16),$C24*Thresholds_Rates!$F$15,IF(AND(OR($B$2="New Consultant Contract"),$B24&lt;&gt;""),$C24*Thresholds_Rates!$F$15,IF(AND(OR($B$2="Clinical Lecturer / Medical Research Fellow",$B$2="Clinical Consultant - Old Contract (GP)"),$B24&lt;&gt;""),$C24*Thresholds_Rates!$F$15,IF(OR($B$2="APM Level 7",$B$2="R&amp;T Level 7"),$C24*Thresholds_Rates!$F$15,IF(SUMIF(Grades!$A:$A,$B$2,Grades!$BO:$BO)=1,$C24*Thresholds_Rates!$F$15,""))))))))</f>
        <v/>
      </c>
      <c r="G24" s="81" t="str">
        <f ca="1">IF(B24="","",IF($B$2="Salary Points 3 to 57","-",IF(SUMIF(Grades!$A:$A,$B$2,Grades!$BP:$BP)=0,"-",IF(AND(OR($B$2="New Consultant Contract"),$B24&lt;&gt;""),$C24*Thresholds_Rates!$F$16,IF(AND(OR($B$2="Clinical Lecturer / Medical Research Fellow",$B$2="Clinical Consultant - Old Contract (GP)"),$B24&lt;&gt;""),$C24*Thresholds_Rates!$F$16,IF(AND(OR($B$2="APM Level 7",$B$2="R&amp;T Level 7"),F24&lt;&gt;""),$C24*Thresholds_Rates!$F$16,IF(SUMIF(Grades!$A:$A,$B$2,Grades!$BP:$BP)=1,$C24*Thresholds_Rates!$F$16,"")))))))</f>
        <v/>
      </c>
      <c r="H24" s="81" t="str">
        <f ca="1">IF($B$2="Apprenticeship","-",IF(B24="","",IF(SUMIF(Grades!$A:$A,$B$2,Grades!$BQ:$BQ)=0,"-",IF(AND($B$2="Salary Points 3 to 57",B24&gt;Thresholds_Rates!$C$17),"-",IF(AND($B$2="Salary Points 3 to 57",B24&lt;=Thresholds_Rates!$C$17),$C24*Thresholds_Rates!$F$17,IF(AND(OR($B$2="New Consultant Contract"),$B24&lt;&gt;""),$C24*Thresholds_Rates!$F$17,IF(AND(OR($B$2="Clinical Lecturer / Medical Research Fellow",$B$2="Clinical Consultant - Old Contract (GP)"),$B24&lt;&gt;""),$C24*Thresholds_Rates!$F$17,IF(AND(OR($B$2="APM Level 7",$B$2="R&amp;T Level 7"),G24&lt;&gt;""),$C24*Thresholds_Rates!$F$17,IF(SUMIF(Grades!$A:$A,$B$2,Grades!$BQ:$BQ)=1,$C24*Thresholds_Rates!$F$17,"")))))))))</f>
        <v/>
      </c>
      <c r="I24" s="81" t="str">
        <f ca="1">IF($B24="","",ROUND(($C24-(Thresholds_Rates!$C$5*12))*Thresholds_Rates!$C$10,0))</f>
        <v/>
      </c>
      <c r="J24" s="81" t="str">
        <f ca="1">IF(B24="","",(C24*Thresholds_Rates!$C$12))</f>
        <v/>
      </c>
      <c r="K24" s="81" t="str">
        <f ca="1">IF(B24="","",IF(AND($B$2="Salary Points 3 to 57",B24&gt;Thresholds_Rates!$C$17),"-",IF(SUMIF(Grades!$A:$A,$B$2,Grades!$BR:$BR)=0,"-",IF(AND($B$2="Salary Points 3 to 57",B24&lt;=Thresholds_Rates!$C$17),$C24*Thresholds_Rates!$F$18,IF(AND(OR($B$2="New Consultant Contract"),$B24&lt;&gt;""),$C24*Thresholds_Rates!$F$18,IF(AND(OR($B$2="Clinical Lecturer / Medical Research Fellow",$B$2="Clinical Consultant - Old Contract (GP)"),$B24&lt;&gt;""),$C24*Thresholds_Rates!$F$18,IF(AND(OR($B$2="APM Level 7",$B$2="R&amp;T Level 7"),I24&lt;&gt;""),$C24*Thresholds_Rates!$F$18,IF(SUMIF(Grades!$A:$A,$B$2,Grades!$BQ:$BQ)=1,$C24*Thresholds_Rates!$F$18,""))))))))</f>
        <v/>
      </c>
      <c r="L24" s="68"/>
      <c r="M24" s="81" t="str">
        <f t="shared" ca="1" si="0"/>
        <v/>
      </c>
      <c r="N24" s="81" t="str">
        <f t="shared" ca="1" si="1"/>
        <v/>
      </c>
      <c r="O24" s="81" t="str">
        <f t="shared" ca="1" si="2"/>
        <v/>
      </c>
      <c r="P24" s="81" t="str">
        <f t="shared" ca="1" si="3"/>
        <v/>
      </c>
      <c r="Q24" s="81" t="str">
        <f t="shared" ca="1" si="4"/>
        <v/>
      </c>
      <c r="S24" s="83" t="str">
        <f ca="1">IF(B24="","",IF($B$2="R&amp;T Level 5 - Clinical Lecturers (Vet School)",SUMIF('Points Lookup'!$V:$V,$B24,'Points Lookup'!$W:$W),IF($B$2="R&amp;T Level 6 - Clinical Associate Professors and Clinical Readers (Vet School)",SUMIF('Points Lookup'!$AC:$AC,$B24,'Points Lookup'!$AD:$AD),"")))</f>
        <v/>
      </c>
      <c r="T24" s="84" t="str">
        <f ca="1">IF(B24="","",IF($B$2="R&amp;T Level 5 - Clinical Lecturers (Vet School)",$C24-SUMIF('Points Lookup'!$V:$V,$B24,'Points Lookup'!$X:$X),IF($B$2="R&amp;T Level 6 - Clinical Associate Professors and Clinical Readers (Vet School)",$C24-SUMIF('Points Lookup'!$AC:$AC,$B24,'Points Lookup'!$AE:$AE),"")))</f>
        <v/>
      </c>
      <c r="U24" s="83" t="str">
        <f ca="1">IF(B24="","",IF($B$2="R&amp;T Level 5 - Clinical Lecturers (Vet School)",SUMIF('Points Lookup'!$V:$V,$B24,'Points Lookup'!$Z:$Z),IF($B$2="R&amp;T Level 6 - Clinical Associate Professors and Clinical Readers (Vet School)",SUMIF('Points Lookup'!$AC:$AC,$B24,'Points Lookup'!$AG:$AG),"")))</f>
        <v/>
      </c>
      <c r="V24" s="84" t="str">
        <f t="shared" ca="1" si="5"/>
        <v/>
      </c>
      <c r="AA24" s="39">
        <v>18</v>
      </c>
    </row>
    <row r="25" spans="2:27" x14ac:dyDescent="0.25">
      <c r="B25" s="68" t="str">
        <f ca="1">IFERROR(INDEX('Points Lookup'!$A:$A,MATCH($AA25,'Points Lookup'!$AN:$AN,0)),"")</f>
        <v/>
      </c>
      <c r="C25" s="81" t="str">
        <f ca="1">IF(B25="","",IF($B$2="Apprenticeship",SUMIF('Points Lookup'!$AJ:$AJ,B25,'Points Lookup'!$AL:$AL),IF(AND(OR($B$2="New Consultant Contract"),$B25&lt;&gt;""),INDEX('Points Lookup'!$T:$T,MATCH($B25,'Points Lookup'!$S:$S,0)),IF(AND(OR($B$2="Clinical Lecturer / Medical Research Fellow",$B$2="Clinical Consultant - Old Contract (GP)"),$B25&lt;&gt;""),INDEX('Points Lookup'!$Q:$Q,MATCH($B25,'Points Lookup'!$P:$P,0)),IF(AND(OR($B$2="APM Level 7",$B$2="R&amp;T Level 7",$B$2="APM Level 8",$B$2="Technical Services Level 7"),B25&lt;&gt;""),INDEX('Points Lookup'!$H:$H,MATCH($AA25,'Points Lookup'!$AN:$AN,0)),IF($B$2="R&amp;T Level 5 - Clinical Lecturers (Vet School)",SUMIF('Points Lookup'!$V:$V,$B25,'Points Lookup'!$Y:$Y),IF($B$2="R&amp;T Level 6 - Clinical Associate Professors and Clinical Readers (Vet School)",SUMIF('Points Lookup'!$AC:$AC,$B25,'Points Lookup'!$AF:$AF),IFERROR(INDEX('Points Lookup'!$B:$B,MATCH($AA25,'Points Lookup'!$AN:$AN,0)),""))))))))</f>
        <v/>
      </c>
      <c r="D25" s="82" t="str">
        <f ca="1">IF(B25="","",IF(AND($B$3="Y",B25&lt;7),VLOOKUP($B25,Thresholds_Rates!$I$15:$J$18,2,FALSE),"-"))</f>
        <v/>
      </c>
      <c r="E25" s="81"/>
      <c r="F25" s="81" t="str">
        <f ca="1">IF($B25="","",IF(AND($B$2="Salary Points 3 to 57",B25&lt;Thresholds_Rates!$C$16),"-",IF(SUMIF(Grades!$A:$A,$B$2,Grades!$BO:$BO)=0,"-",IF(AND($B$2="Salary Points 3 to 57",B25&gt;=Thresholds_Rates!$C$16),$C25*Thresholds_Rates!$F$15,IF(AND(OR($B$2="New Consultant Contract"),$B25&lt;&gt;""),$C25*Thresholds_Rates!$F$15,IF(AND(OR($B$2="Clinical Lecturer / Medical Research Fellow",$B$2="Clinical Consultant - Old Contract (GP)"),$B25&lt;&gt;""),$C25*Thresholds_Rates!$F$15,IF(OR($B$2="APM Level 7",$B$2="R&amp;T Level 7"),$C25*Thresholds_Rates!$F$15,IF(SUMIF(Grades!$A:$A,$B$2,Grades!$BO:$BO)=1,$C25*Thresholds_Rates!$F$15,""))))))))</f>
        <v/>
      </c>
      <c r="G25" s="81" t="str">
        <f ca="1">IF(B25="","",IF($B$2="Salary Points 3 to 57","-",IF(SUMIF(Grades!$A:$A,$B$2,Grades!$BP:$BP)=0,"-",IF(AND(OR($B$2="New Consultant Contract"),$B25&lt;&gt;""),$C25*Thresholds_Rates!$F$16,IF(AND(OR($B$2="Clinical Lecturer / Medical Research Fellow",$B$2="Clinical Consultant - Old Contract (GP)"),$B25&lt;&gt;""),$C25*Thresholds_Rates!$F$16,IF(AND(OR($B$2="APM Level 7",$B$2="R&amp;T Level 7"),F25&lt;&gt;""),$C25*Thresholds_Rates!$F$16,IF(SUMIF(Grades!$A:$A,$B$2,Grades!$BP:$BP)=1,$C25*Thresholds_Rates!$F$16,"")))))))</f>
        <v/>
      </c>
      <c r="H25" s="81" t="str">
        <f ca="1">IF($B$2="Apprenticeship","-",IF(B25="","",IF(SUMIF(Grades!$A:$A,$B$2,Grades!$BQ:$BQ)=0,"-",IF(AND($B$2="Salary Points 3 to 57",B25&gt;Thresholds_Rates!$C$17),"-",IF(AND($B$2="Salary Points 3 to 57",B25&lt;=Thresholds_Rates!$C$17),$C25*Thresholds_Rates!$F$17,IF(AND(OR($B$2="New Consultant Contract"),$B25&lt;&gt;""),$C25*Thresholds_Rates!$F$17,IF(AND(OR($B$2="Clinical Lecturer / Medical Research Fellow",$B$2="Clinical Consultant - Old Contract (GP)"),$B25&lt;&gt;""),$C25*Thresholds_Rates!$F$17,IF(AND(OR($B$2="APM Level 7",$B$2="R&amp;T Level 7"),G25&lt;&gt;""),$C25*Thresholds_Rates!$F$17,IF(SUMIF(Grades!$A:$A,$B$2,Grades!$BQ:$BQ)=1,$C25*Thresholds_Rates!$F$17,"")))))))))</f>
        <v/>
      </c>
      <c r="I25" s="81" t="str">
        <f ca="1">IF($B25="","",ROUND(($C25-(Thresholds_Rates!$C$5*12))*Thresholds_Rates!$C$10,0))</f>
        <v/>
      </c>
      <c r="J25" s="81" t="str">
        <f ca="1">IF(B25="","",(C25*Thresholds_Rates!$C$12))</f>
        <v/>
      </c>
      <c r="K25" s="81" t="str">
        <f ca="1">IF(B25="","",IF(AND($B$2="Salary Points 3 to 57",B25&gt;Thresholds_Rates!$C$17),"-",IF(SUMIF(Grades!$A:$A,$B$2,Grades!$BR:$BR)=0,"-",IF(AND($B$2="Salary Points 3 to 57",B25&lt;=Thresholds_Rates!$C$17),$C25*Thresholds_Rates!$F$18,IF(AND(OR($B$2="New Consultant Contract"),$B25&lt;&gt;""),$C25*Thresholds_Rates!$F$18,IF(AND(OR($B$2="Clinical Lecturer / Medical Research Fellow",$B$2="Clinical Consultant - Old Contract (GP)"),$B25&lt;&gt;""),$C25*Thresholds_Rates!$F$18,IF(AND(OR($B$2="APM Level 7",$B$2="R&amp;T Level 7"),I25&lt;&gt;""),$C25*Thresholds_Rates!$F$18,IF(SUMIF(Grades!$A:$A,$B$2,Grades!$BQ:$BQ)=1,$C25*Thresholds_Rates!$F$18,""))))))))</f>
        <v/>
      </c>
      <c r="L25" s="68"/>
      <c r="M25" s="81" t="str">
        <f t="shared" ca="1" si="0"/>
        <v/>
      </c>
      <c r="N25" s="81" t="str">
        <f t="shared" ca="1" si="1"/>
        <v/>
      </c>
      <c r="O25" s="81" t="str">
        <f t="shared" ca="1" si="2"/>
        <v/>
      </c>
      <c r="P25" s="81" t="str">
        <f t="shared" ca="1" si="3"/>
        <v/>
      </c>
      <c r="Q25" s="81" t="str">
        <f t="shared" ca="1" si="4"/>
        <v/>
      </c>
      <c r="S25" s="83" t="str">
        <f ca="1">IF(B25="","",IF($B$2="R&amp;T Level 5 - Clinical Lecturers (Vet School)",SUMIF('Points Lookup'!$V:$V,$B25,'Points Lookup'!$W:$W),IF($B$2="R&amp;T Level 6 - Clinical Associate Professors and Clinical Readers (Vet School)",SUMIF('Points Lookup'!$AC:$AC,$B25,'Points Lookup'!$AD:$AD),"")))</f>
        <v/>
      </c>
      <c r="T25" s="84" t="str">
        <f ca="1">IF(B25="","",IF($B$2="R&amp;T Level 5 - Clinical Lecturers (Vet School)",$C25-SUMIF('Points Lookup'!$V:$V,$B25,'Points Lookup'!$X:$X),IF($B$2="R&amp;T Level 6 - Clinical Associate Professors and Clinical Readers (Vet School)",$C25-SUMIF('Points Lookup'!$AC:$AC,$B25,'Points Lookup'!$AE:$AE),"")))</f>
        <v/>
      </c>
      <c r="U25" s="83" t="str">
        <f ca="1">IF(B25="","",IF($B$2="R&amp;T Level 5 - Clinical Lecturers (Vet School)",SUMIF('Points Lookup'!$V:$V,$B25,'Points Lookup'!$Z:$Z),IF($B$2="R&amp;T Level 6 - Clinical Associate Professors and Clinical Readers (Vet School)",SUMIF('Points Lookup'!$AC:$AC,$B25,'Points Lookup'!$AG:$AG),"")))</f>
        <v/>
      </c>
      <c r="V25" s="84" t="str">
        <f t="shared" ca="1" si="5"/>
        <v/>
      </c>
      <c r="AA25" s="39">
        <v>19</v>
      </c>
    </row>
    <row r="26" spans="2:27" x14ac:dyDescent="0.25">
      <c r="B26" s="68" t="str">
        <f ca="1">IFERROR(INDEX('Points Lookup'!$A:$A,MATCH($AA26,'Points Lookup'!$AN:$AN,0)),"")</f>
        <v/>
      </c>
      <c r="C26" s="81" t="str">
        <f ca="1">IF(B26="","",IF($B$2="Apprenticeship",SUMIF('Points Lookup'!$AJ:$AJ,B26,'Points Lookup'!$AL:$AL),IF(AND(OR($B$2="New Consultant Contract"),$B26&lt;&gt;""),INDEX('Points Lookup'!$T:$T,MATCH($B26,'Points Lookup'!$S:$S,0)),IF(AND(OR($B$2="Clinical Lecturer / Medical Research Fellow",$B$2="Clinical Consultant - Old Contract (GP)"),$B26&lt;&gt;""),INDEX('Points Lookup'!$Q:$Q,MATCH($B26,'Points Lookup'!$P:$P,0)),IF(AND(OR($B$2="APM Level 7",$B$2="R&amp;T Level 7",$B$2="APM Level 8",$B$2="Technical Services Level 7"),B26&lt;&gt;""),INDEX('Points Lookup'!$H:$H,MATCH($AA26,'Points Lookup'!$AN:$AN,0)),IF($B$2="R&amp;T Level 5 - Clinical Lecturers (Vet School)",SUMIF('Points Lookup'!$V:$V,$B26,'Points Lookup'!$Y:$Y),IF($B$2="R&amp;T Level 6 - Clinical Associate Professors and Clinical Readers (Vet School)",SUMIF('Points Lookup'!$AC:$AC,$B26,'Points Lookup'!$AF:$AF),IFERROR(INDEX('Points Lookup'!$B:$B,MATCH($AA26,'Points Lookup'!$AN:$AN,0)),""))))))))</f>
        <v/>
      </c>
      <c r="D26" s="82" t="str">
        <f ca="1">IF(B26="","",IF(AND($B$3="Y",B26&lt;7),VLOOKUP($B26,Thresholds_Rates!$I$15:$J$18,2,FALSE),"-"))</f>
        <v/>
      </c>
      <c r="E26" s="81"/>
      <c r="F26" s="81" t="str">
        <f ca="1">IF($B26="","",IF(AND($B$2="Salary Points 3 to 57",B26&lt;Thresholds_Rates!$C$16),"-",IF(SUMIF(Grades!$A:$A,$B$2,Grades!$BO:$BO)=0,"-",IF(AND($B$2="Salary Points 3 to 57",B26&gt;=Thresholds_Rates!$C$16),$C26*Thresholds_Rates!$F$15,IF(AND(OR($B$2="New Consultant Contract"),$B26&lt;&gt;""),$C26*Thresholds_Rates!$F$15,IF(AND(OR($B$2="Clinical Lecturer / Medical Research Fellow",$B$2="Clinical Consultant - Old Contract (GP)"),$B26&lt;&gt;""),$C26*Thresholds_Rates!$F$15,IF(OR($B$2="APM Level 7",$B$2="R&amp;T Level 7"),$C26*Thresholds_Rates!$F$15,IF(SUMIF(Grades!$A:$A,$B$2,Grades!$BO:$BO)=1,$C26*Thresholds_Rates!$F$15,""))))))))</f>
        <v/>
      </c>
      <c r="G26" s="81" t="str">
        <f ca="1">IF(B26="","",IF($B$2="Salary Points 3 to 57","-",IF(SUMIF(Grades!$A:$A,$B$2,Grades!$BP:$BP)=0,"-",IF(AND(OR($B$2="New Consultant Contract"),$B26&lt;&gt;""),$C26*Thresholds_Rates!$F$16,IF(AND(OR($B$2="Clinical Lecturer / Medical Research Fellow",$B$2="Clinical Consultant - Old Contract (GP)"),$B26&lt;&gt;""),$C26*Thresholds_Rates!$F$16,IF(AND(OR($B$2="APM Level 7",$B$2="R&amp;T Level 7"),F26&lt;&gt;""),$C26*Thresholds_Rates!$F$16,IF(SUMIF(Grades!$A:$A,$B$2,Grades!$BP:$BP)=1,$C26*Thresholds_Rates!$F$16,"")))))))</f>
        <v/>
      </c>
      <c r="H26" s="81" t="str">
        <f ca="1">IF($B$2="Apprenticeship","-",IF(B26="","",IF(SUMIF(Grades!$A:$A,$B$2,Grades!$BQ:$BQ)=0,"-",IF(AND($B$2="Salary Points 3 to 57",B26&gt;Thresholds_Rates!$C$17),"-",IF(AND($B$2="Salary Points 3 to 57",B26&lt;=Thresholds_Rates!$C$17),$C26*Thresholds_Rates!$F$17,IF(AND(OR($B$2="New Consultant Contract"),$B26&lt;&gt;""),$C26*Thresholds_Rates!$F$17,IF(AND(OR($B$2="Clinical Lecturer / Medical Research Fellow",$B$2="Clinical Consultant - Old Contract (GP)"),$B26&lt;&gt;""),$C26*Thresholds_Rates!$F$17,IF(AND(OR($B$2="APM Level 7",$B$2="R&amp;T Level 7"),G26&lt;&gt;""),$C26*Thresholds_Rates!$F$17,IF(SUMIF(Grades!$A:$A,$B$2,Grades!$BQ:$BQ)=1,$C26*Thresholds_Rates!$F$17,"")))))))))</f>
        <v/>
      </c>
      <c r="I26" s="81" t="str">
        <f ca="1">IF($B26="","",ROUND(($C26-(Thresholds_Rates!$C$5*12))*Thresholds_Rates!$C$10,0))</f>
        <v/>
      </c>
      <c r="J26" s="81" t="str">
        <f ca="1">IF(B26="","",(C26*Thresholds_Rates!$C$12))</f>
        <v/>
      </c>
      <c r="K26" s="81" t="str">
        <f ca="1">IF(B26="","",IF(AND($B$2="Salary Points 3 to 57",B26&gt;Thresholds_Rates!$C$17),"-",IF(SUMIF(Grades!$A:$A,$B$2,Grades!$BR:$BR)=0,"-",IF(AND($B$2="Salary Points 3 to 57",B26&lt;=Thresholds_Rates!$C$17),$C26*Thresholds_Rates!$F$18,IF(AND(OR($B$2="New Consultant Contract"),$B26&lt;&gt;""),$C26*Thresholds_Rates!$F$18,IF(AND(OR($B$2="Clinical Lecturer / Medical Research Fellow",$B$2="Clinical Consultant - Old Contract (GP)"),$B26&lt;&gt;""),$C26*Thresholds_Rates!$F$18,IF(AND(OR($B$2="APM Level 7",$B$2="R&amp;T Level 7"),I26&lt;&gt;""),$C26*Thresholds_Rates!$F$18,IF(SUMIF(Grades!$A:$A,$B$2,Grades!$BQ:$BQ)=1,$C26*Thresholds_Rates!$F$18,""))))))))</f>
        <v/>
      </c>
      <c r="L26" s="68"/>
      <c r="M26" s="81" t="str">
        <f t="shared" ca="1" si="0"/>
        <v/>
      </c>
      <c r="N26" s="81" t="str">
        <f t="shared" ca="1" si="1"/>
        <v/>
      </c>
      <c r="O26" s="81" t="str">
        <f t="shared" ca="1" si="2"/>
        <v/>
      </c>
      <c r="P26" s="81" t="str">
        <f t="shared" ca="1" si="3"/>
        <v/>
      </c>
      <c r="Q26" s="81" t="str">
        <f t="shared" ca="1" si="4"/>
        <v/>
      </c>
      <c r="S26" s="83" t="str">
        <f ca="1">IF(B26="","",IF($B$2="R&amp;T Level 5 - Clinical Lecturers (Vet School)",SUMIF('Points Lookup'!$V:$V,$B26,'Points Lookup'!$W:$W),IF($B$2="R&amp;T Level 6 - Clinical Associate Professors and Clinical Readers (Vet School)",SUMIF('Points Lookup'!$AC:$AC,$B26,'Points Lookup'!$AD:$AD),"")))</f>
        <v/>
      </c>
      <c r="T26" s="84" t="str">
        <f ca="1">IF(B26="","",IF($B$2="R&amp;T Level 5 - Clinical Lecturers (Vet School)",$C26-SUMIF('Points Lookup'!$V:$V,$B26,'Points Lookup'!$X:$X),IF($B$2="R&amp;T Level 6 - Clinical Associate Professors and Clinical Readers (Vet School)",$C26-SUMIF('Points Lookup'!$AC:$AC,$B26,'Points Lookup'!$AE:$AE),"")))</f>
        <v/>
      </c>
      <c r="U26" s="83" t="str">
        <f ca="1">IF(B26="","",IF($B$2="R&amp;T Level 5 - Clinical Lecturers (Vet School)",SUMIF('Points Lookup'!$V:$V,$B26,'Points Lookup'!$Z:$Z),IF($B$2="R&amp;T Level 6 - Clinical Associate Professors and Clinical Readers (Vet School)",SUMIF('Points Lookup'!$AC:$AC,$B26,'Points Lookup'!$AG:$AG),"")))</f>
        <v/>
      </c>
      <c r="V26" s="84" t="str">
        <f t="shared" ca="1" si="5"/>
        <v/>
      </c>
      <c r="AA26" s="39">
        <v>20</v>
      </c>
    </row>
    <row r="27" spans="2:27" x14ac:dyDescent="0.25">
      <c r="B27" s="68" t="str">
        <f ca="1">IFERROR(INDEX('Points Lookup'!$A:$A,MATCH($AA27,'Points Lookup'!$AN:$AN,0)),"")</f>
        <v/>
      </c>
      <c r="C27" s="81" t="str">
        <f ca="1">IF(B27="","",IF($B$2="Apprenticeship",SUMIF('Points Lookup'!$AJ:$AJ,B27,'Points Lookup'!$AL:$AL),IF(AND(OR($B$2="New Consultant Contract"),$B27&lt;&gt;""),INDEX('Points Lookup'!$T:$T,MATCH($B27,'Points Lookup'!$S:$S,0)),IF(AND(OR($B$2="Clinical Lecturer / Medical Research Fellow",$B$2="Clinical Consultant - Old Contract (GP)"),$B27&lt;&gt;""),INDEX('Points Lookup'!$Q:$Q,MATCH($B27,'Points Lookup'!$P:$P,0)),IF(AND(OR($B$2="APM Level 7",$B$2="R&amp;T Level 7",$B$2="APM Level 8",$B$2="Technical Services Level 7"),B27&lt;&gt;""),INDEX('Points Lookup'!$H:$H,MATCH($AA27,'Points Lookup'!$AN:$AN,0)),IF($B$2="R&amp;T Level 5 - Clinical Lecturers (Vet School)",SUMIF('Points Lookup'!$V:$V,$B27,'Points Lookup'!$Y:$Y),IF($B$2="R&amp;T Level 6 - Clinical Associate Professors and Clinical Readers (Vet School)",SUMIF('Points Lookup'!$AC:$AC,$B27,'Points Lookup'!$AF:$AF),IFERROR(INDEX('Points Lookup'!$B:$B,MATCH($AA27,'Points Lookup'!$AN:$AN,0)),""))))))))</f>
        <v/>
      </c>
      <c r="D27" s="82" t="str">
        <f ca="1">IF(B27="","",IF(AND($B$3="Y",B27&lt;7),VLOOKUP($B27,Thresholds_Rates!$I$15:$J$18,2,FALSE),"-"))</f>
        <v/>
      </c>
      <c r="E27" s="81"/>
      <c r="F27" s="81" t="str">
        <f ca="1">IF($B27="","",IF(AND($B$2="Salary Points 3 to 57",B27&lt;Thresholds_Rates!$C$16),"-",IF(SUMIF(Grades!$A:$A,$B$2,Grades!$BO:$BO)=0,"-",IF(AND($B$2="Salary Points 3 to 57",B27&gt;=Thresholds_Rates!$C$16),$C27*Thresholds_Rates!$F$15,IF(AND(OR($B$2="New Consultant Contract"),$B27&lt;&gt;""),$C27*Thresholds_Rates!$F$15,IF(AND(OR($B$2="Clinical Lecturer / Medical Research Fellow",$B$2="Clinical Consultant - Old Contract (GP)"),$B27&lt;&gt;""),$C27*Thresholds_Rates!$F$15,IF(OR($B$2="APM Level 7",$B$2="R&amp;T Level 7"),$C27*Thresholds_Rates!$F$15,IF(SUMIF(Grades!$A:$A,$B$2,Grades!$BO:$BO)=1,$C27*Thresholds_Rates!$F$15,""))))))))</f>
        <v/>
      </c>
      <c r="G27" s="81" t="str">
        <f ca="1">IF(B27="","",IF($B$2="Salary Points 3 to 57","-",IF(SUMIF(Grades!$A:$A,$B$2,Grades!$BP:$BP)=0,"-",IF(AND(OR($B$2="New Consultant Contract"),$B27&lt;&gt;""),$C27*Thresholds_Rates!$F$16,IF(AND(OR($B$2="Clinical Lecturer / Medical Research Fellow",$B$2="Clinical Consultant - Old Contract (GP)"),$B27&lt;&gt;""),$C27*Thresholds_Rates!$F$16,IF(AND(OR($B$2="APM Level 7",$B$2="R&amp;T Level 7"),F27&lt;&gt;""),$C27*Thresholds_Rates!$F$16,IF(SUMIF(Grades!$A:$A,$B$2,Grades!$BP:$BP)=1,$C27*Thresholds_Rates!$F$16,"")))))))</f>
        <v/>
      </c>
      <c r="H27" s="81" t="str">
        <f ca="1">IF($B$2="Apprenticeship","-",IF(B27="","",IF(SUMIF(Grades!$A:$A,$B$2,Grades!$BQ:$BQ)=0,"-",IF(AND($B$2="Salary Points 3 to 57",B27&gt;Thresholds_Rates!$C$17),"-",IF(AND($B$2="Salary Points 3 to 57",B27&lt;=Thresholds_Rates!$C$17),$C27*Thresholds_Rates!$F$17,IF(AND(OR($B$2="New Consultant Contract"),$B27&lt;&gt;""),$C27*Thresholds_Rates!$F$17,IF(AND(OR($B$2="Clinical Lecturer / Medical Research Fellow",$B$2="Clinical Consultant - Old Contract (GP)"),$B27&lt;&gt;""),$C27*Thresholds_Rates!$F$17,IF(AND(OR($B$2="APM Level 7",$B$2="R&amp;T Level 7"),G27&lt;&gt;""),$C27*Thresholds_Rates!$F$17,IF(SUMIF(Grades!$A:$A,$B$2,Grades!$BQ:$BQ)=1,$C27*Thresholds_Rates!$F$17,"")))))))))</f>
        <v/>
      </c>
      <c r="I27" s="81" t="str">
        <f ca="1">IF($B27="","",ROUND(($C27-(Thresholds_Rates!$C$5*12))*Thresholds_Rates!$C$10,0))</f>
        <v/>
      </c>
      <c r="J27" s="81" t="str">
        <f ca="1">IF(B27="","",(C27*Thresholds_Rates!$C$12))</f>
        <v/>
      </c>
      <c r="K27" s="81" t="str">
        <f ca="1">IF(B27="","",IF(AND($B$2="Salary Points 3 to 57",B27&gt;Thresholds_Rates!$C$17),"-",IF(SUMIF(Grades!$A:$A,$B$2,Grades!$BR:$BR)=0,"-",IF(AND($B$2="Salary Points 3 to 57",B27&lt;=Thresholds_Rates!$C$17),$C27*Thresholds_Rates!$F$18,IF(AND(OR($B$2="New Consultant Contract"),$B27&lt;&gt;""),$C27*Thresholds_Rates!$F$18,IF(AND(OR($B$2="Clinical Lecturer / Medical Research Fellow",$B$2="Clinical Consultant - Old Contract (GP)"),$B27&lt;&gt;""),$C27*Thresholds_Rates!$F$18,IF(AND(OR($B$2="APM Level 7",$B$2="R&amp;T Level 7"),I27&lt;&gt;""),$C27*Thresholds_Rates!$F$18,IF(SUMIF(Grades!$A:$A,$B$2,Grades!$BQ:$BQ)=1,$C27*Thresholds_Rates!$F$18,""))))))))</f>
        <v/>
      </c>
      <c r="L27" s="68"/>
      <c r="M27" s="81" t="str">
        <f t="shared" ca="1" si="0"/>
        <v/>
      </c>
      <c r="N27" s="81" t="str">
        <f t="shared" ca="1" si="1"/>
        <v/>
      </c>
      <c r="O27" s="81" t="str">
        <f t="shared" ca="1" si="2"/>
        <v/>
      </c>
      <c r="P27" s="81" t="str">
        <f t="shared" ca="1" si="3"/>
        <v/>
      </c>
      <c r="Q27" s="81" t="str">
        <f t="shared" ca="1" si="4"/>
        <v/>
      </c>
      <c r="S27" s="83" t="str">
        <f ca="1">IF(B27="","",IF($B$2="R&amp;T Level 5 - Clinical Lecturers (Vet School)",SUMIF('Points Lookup'!$V:$V,$B27,'Points Lookup'!$W:$W),IF($B$2="R&amp;T Level 6 - Clinical Associate Professors and Clinical Readers (Vet School)",SUMIF('Points Lookup'!$AC:$AC,$B27,'Points Lookup'!$AD:$AD),"")))</f>
        <v/>
      </c>
      <c r="T27" s="84" t="str">
        <f ca="1">IF(B27="","",IF($B$2="R&amp;T Level 5 - Clinical Lecturers (Vet School)",$C27-SUMIF('Points Lookup'!$V:$V,$B27,'Points Lookup'!$X:$X),IF($B$2="R&amp;T Level 6 - Clinical Associate Professors and Clinical Readers (Vet School)",$C27-SUMIF('Points Lookup'!$AC:$AC,$B27,'Points Lookup'!$AE:$AE),"")))</f>
        <v/>
      </c>
      <c r="U27" s="83" t="str">
        <f ca="1">IF(B27="","",IF($B$2="R&amp;T Level 5 - Clinical Lecturers (Vet School)",SUMIF('Points Lookup'!$V:$V,$B27,'Points Lookup'!$Z:$Z),IF($B$2="R&amp;T Level 6 - Clinical Associate Professors and Clinical Readers (Vet School)",SUMIF('Points Lookup'!$AC:$AC,$B27,'Points Lookup'!$AG:$AG),"")))</f>
        <v/>
      </c>
      <c r="V27" s="84" t="str">
        <f t="shared" ca="1" si="5"/>
        <v/>
      </c>
      <c r="AA27" s="39">
        <v>21</v>
      </c>
    </row>
    <row r="28" spans="2:27" x14ac:dyDescent="0.25">
      <c r="B28" s="68" t="str">
        <f ca="1">IFERROR(INDEX('Points Lookup'!$A:$A,MATCH($AA28,'Points Lookup'!$AN:$AN,0)),"")</f>
        <v/>
      </c>
      <c r="C28" s="81" t="str">
        <f ca="1">IF(B28="","",IF($B$2="Apprenticeship",SUMIF('Points Lookup'!$AJ:$AJ,B28,'Points Lookup'!$AL:$AL),IF(AND(OR($B$2="New Consultant Contract"),$B28&lt;&gt;""),INDEX('Points Lookup'!$T:$T,MATCH($B28,'Points Lookup'!$S:$S,0)),IF(AND(OR($B$2="Clinical Lecturer / Medical Research Fellow",$B$2="Clinical Consultant - Old Contract (GP)"),$B28&lt;&gt;""),INDEX('Points Lookup'!$Q:$Q,MATCH($B28,'Points Lookup'!$P:$P,0)),IF(AND(OR($B$2="APM Level 7",$B$2="R&amp;T Level 7",$B$2="APM Level 8",$B$2="Technical Services Level 7"),B28&lt;&gt;""),INDEX('Points Lookup'!$H:$H,MATCH($AA28,'Points Lookup'!$AN:$AN,0)),IF($B$2="R&amp;T Level 5 - Clinical Lecturers (Vet School)",SUMIF('Points Lookup'!$V:$V,$B28,'Points Lookup'!$Y:$Y),IF($B$2="R&amp;T Level 6 - Clinical Associate Professors and Clinical Readers (Vet School)",SUMIF('Points Lookup'!$AC:$AC,$B28,'Points Lookup'!$AF:$AF),IFERROR(INDEX('Points Lookup'!$B:$B,MATCH($AA28,'Points Lookup'!$AN:$AN,0)),""))))))))</f>
        <v/>
      </c>
      <c r="D28" s="82" t="str">
        <f ca="1">IF(B28="","",IF(AND($B$3="Y",B28&lt;7),VLOOKUP($B28,Thresholds_Rates!$I$15:$J$18,2,FALSE),"-"))</f>
        <v/>
      </c>
      <c r="E28" s="81"/>
      <c r="F28" s="81" t="str">
        <f ca="1">IF($B28="","",IF(AND($B$2="Salary Points 3 to 57",B28&lt;Thresholds_Rates!$C$16),"-",IF(SUMIF(Grades!$A:$A,$B$2,Grades!$BO:$BO)=0,"-",IF(AND($B$2="Salary Points 3 to 57",B28&gt;=Thresholds_Rates!$C$16),$C28*Thresholds_Rates!$F$15,IF(AND(OR($B$2="New Consultant Contract"),$B28&lt;&gt;""),$C28*Thresholds_Rates!$F$15,IF(AND(OR($B$2="Clinical Lecturer / Medical Research Fellow",$B$2="Clinical Consultant - Old Contract (GP)"),$B28&lt;&gt;""),$C28*Thresholds_Rates!$F$15,IF(OR($B$2="APM Level 7",$B$2="R&amp;T Level 7"),$C28*Thresholds_Rates!$F$15,IF(SUMIF(Grades!$A:$A,$B$2,Grades!$BO:$BO)=1,$C28*Thresholds_Rates!$F$15,""))))))))</f>
        <v/>
      </c>
      <c r="G28" s="81" t="str">
        <f ca="1">IF(B28="","",IF($B$2="Salary Points 3 to 57","-",IF(SUMIF(Grades!$A:$A,$B$2,Grades!$BP:$BP)=0,"-",IF(AND(OR($B$2="New Consultant Contract"),$B28&lt;&gt;""),$C28*Thresholds_Rates!$F$16,IF(AND(OR($B$2="Clinical Lecturer / Medical Research Fellow",$B$2="Clinical Consultant - Old Contract (GP)"),$B28&lt;&gt;""),$C28*Thresholds_Rates!$F$16,IF(AND(OR($B$2="APM Level 7",$B$2="R&amp;T Level 7"),F28&lt;&gt;""),$C28*Thresholds_Rates!$F$16,IF(SUMIF(Grades!$A:$A,$B$2,Grades!$BP:$BP)=1,$C28*Thresholds_Rates!$F$16,"")))))))</f>
        <v/>
      </c>
      <c r="H28" s="81" t="str">
        <f ca="1">IF($B$2="Apprenticeship","-",IF(B28="","",IF(SUMIF(Grades!$A:$A,$B$2,Grades!$BQ:$BQ)=0,"-",IF(AND($B$2="Salary Points 3 to 57",B28&gt;Thresholds_Rates!$C$17),"-",IF(AND($B$2="Salary Points 3 to 57",B28&lt;=Thresholds_Rates!$C$17),$C28*Thresholds_Rates!$F$17,IF(AND(OR($B$2="New Consultant Contract"),$B28&lt;&gt;""),$C28*Thresholds_Rates!$F$17,IF(AND(OR($B$2="Clinical Lecturer / Medical Research Fellow",$B$2="Clinical Consultant - Old Contract (GP)"),$B28&lt;&gt;""),$C28*Thresholds_Rates!$F$17,IF(AND(OR($B$2="APM Level 7",$B$2="R&amp;T Level 7"),G28&lt;&gt;""),$C28*Thresholds_Rates!$F$17,IF(SUMIF(Grades!$A:$A,$B$2,Grades!$BQ:$BQ)=1,$C28*Thresholds_Rates!$F$17,"")))))))))</f>
        <v/>
      </c>
      <c r="I28" s="81" t="str">
        <f ca="1">IF($B28="","",ROUND(($C28-(Thresholds_Rates!$C$5*12))*Thresholds_Rates!$C$10,0))</f>
        <v/>
      </c>
      <c r="J28" s="81" t="str">
        <f ca="1">IF(B28="","",(C28*Thresholds_Rates!$C$12))</f>
        <v/>
      </c>
      <c r="K28" s="81" t="str">
        <f ca="1">IF(B28="","",IF(AND($B$2="Salary Points 3 to 57",B28&gt;Thresholds_Rates!$C$17),"-",IF(SUMIF(Grades!$A:$A,$B$2,Grades!$BR:$BR)=0,"-",IF(AND($B$2="Salary Points 3 to 57",B28&lt;=Thresholds_Rates!$C$17),$C28*Thresholds_Rates!$F$18,IF(AND(OR($B$2="New Consultant Contract"),$B28&lt;&gt;""),$C28*Thresholds_Rates!$F$18,IF(AND(OR($B$2="Clinical Lecturer / Medical Research Fellow",$B$2="Clinical Consultant - Old Contract (GP)"),$B28&lt;&gt;""),$C28*Thresholds_Rates!$F$18,IF(AND(OR($B$2="APM Level 7",$B$2="R&amp;T Level 7"),I28&lt;&gt;""),$C28*Thresholds_Rates!$F$18,IF(SUMIF(Grades!$A:$A,$B$2,Grades!$BQ:$BQ)=1,$C28*Thresholds_Rates!$F$18,""))))))))</f>
        <v/>
      </c>
      <c r="L28" s="68"/>
      <c r="M28" s="81" t="str">
        <f t="shared" ca="1" si="0"/>
        <v/>
      </c>
      <c r="N28" s="81" t="str">
        <f t="shared" ca="1" si="1"/>
        <v/>
      </c>
      <c r="O28" s="81" t="str">
        <f t="shared" ca="1" si="2"/>
        <v/>
      </c>
      <c r="P28" s="81" t="str">
        <f t="shared" ca="1" si="3"/>
        <v/>
      </c>
      <c r="Q28" s="81" t="str">
        <f t="shared" ca="1" si="4"/>
        <v/>
      </c>
      <c r="S28" s="83" t="str">
        <f ca="1">IF(B28="","",IF($B$2="R&amp;T Level 5 - Clinical Lecturers (Vet School)",SUMIF('Points Lookup'!$V:$V,$B28,'Points Lookup'!$W:$W),IF($B$2="R&amp;T Level 6 - Clinical Associate Professors and Clinical Readers (Vet School)",SUMIF('Points Lookup'!$AC:$AC,$B28,'Points Lookup'!$AD:$AD),"")))</f>
        <v/>
      </c>
      <c r="T28" s="84" t="str">
        <f ca="1">IF(B28="","",IF($B$2="R&amp;T Level 5 - Clinical Lecturers (Vet School)",$C28-SUMIF('Points Lookup'!$V:$V,$B28,'Points Lookup'!$X:$X),IF($B$2="R&amp;T Level 6 - Clinical Associate Professors and Clinical Readers (Vet School)",$C28-SUMIF('Points Lookup'!$AC:$AC,$B28,'Points Lookup'!$AE:$AE),"")))</f>
        <v/>
      </c>
      <c r="U28" s="83" t="str">
        <f ca="1">IF(B28="","",IF($B$2="R&amp;T Level 5 - Clinical Lecturers (Vet School)",SUMIF('Points Lookup'!$V:$V,$B28,'Points Lookup'!$Z:$Z),IF($B$2="R&amp;T Level 6 - Clinical Associate Professors and Clinical Readers (Vet School)",SUMIF('Points Lookup'!$AC:$AC,$B28,'Points Lookup'!$AG:$AG),"")))</f>
        <v/>
      </c>
      <c r="V28" s="84" t="str">
        <f t="shared" ca="1" si="5"/>
        <v/>
      </c>
      <c r="AA28" s="39">
        <v>22</v>
      </c>
    </row>
    <row r="29" spans="2:27" x14ac:dyDescent="0.25">
      <c r="B29" s="68" t="str">
        <f ca="1">IFERROR(INDEX('Points Lookup'!$A:$A,MATCH($AA29,'Points Lookup'!$AN:$AN,0)),"")</f>
        <v/>
      </c>
      <c r="C29" s="81" t="str">
        <f ca="1">IF(B29="","",IF($B$2="Apprenticeship",SUMIF('Points Lookup'!$AJ:$AJ,B29,'Points Lookup'!$AL:$AL),IF(AND(OR($B$2="New Consultant Contract"),$B29&lt;&gt;""),INDEX('Points Lookup'!$T:$T,MATCH($B29,'Points Lookup'!$S:$S,0)),IF(AND(OR($B$2="Clinical Lecturer / Medical Research Fellow",$B$2="Clinical Consultant - Old Contract (GP)"),$B29&lt;&gt;""),INDEX('Points Lookup'!$Q:$Q,MATCH($B29,'Points Lookup'!$P:$P,0)),IF(AND(OR($B$2="APM Level 7",$B$2="R&amp;T Level 7",$B$2="APM Level 8",$B$2="Technical Services Level 7"),B29&lt;&gt;""),INDEX('Points Lookup'!$H:$H,MATCH($AA29,'Points Lookup'!$AN:$AN,0)),IF($B$2="R&amp;T Level 5 - Clinical Lecturers (Vet School)",SUMIF('Points Lookup'!$V:$V,$B29,'Points Lookup'!$Y:$Y),IF($B$2="R&amp;T Level 6 - Clinical Associate Professors and Clinical Readers (Vet School)",SUMIF('Points Lookup'!$AC:$AC,$B29,'Points Lookup'!$AF:$AF),IFERROR(INDEX('Points Lookup'!$B:$B,MATCH($AA29,'Points Lookup'!$AN:$AN,0)),""))))))))</f>
        <v/>
      </c>
      <c r="D29" s="82" t="str">
        <f ca="1">IF(B29="","",IF(AND($B$3="Y",B29&lt;7),VLOOKUP($B29,Thresholds_Rates!$I$15:$J$18,2,FALSE),"-"))</f>
        <v/>
      </c>
      <c r="E29" s="81"/>
      <c r="F29" s="81" t="str">
        <f ca="1">IF($B29="","",IF(AND($B$2="Salary Points 3 to 57",B29&lt;Thresholds_Rates!$C$16),"-",IF(SUMIF(Grades!$A:$A,$B$2,Grades!$BO:$BO)=0,"-",IF(AND($B$2="Salary Points 3 to 57",B29&gt;=Thresholds_Rates!$C$16),$C29*Thresholds_Rates!$F$15,IF(AND(OR($B$2="New Consultant Contract"),$B29&lt;&gt;""),$C29*Thresholds_Rates!$F$15,IF(AND(OR($B$2="Clinical Lecturer / Medical Research Fellow",$B$2="Clinical Consultant - Old Contract (GP)"),$B29&lt;&gt;""),$C29*Thresholds_Rates!$F$15,IF(OR($B$2="APM Level 7",$B$2="R&amp;T Level 7"),$C29*Thresholds_Rates!$F$15,IF(SUMIF(Grades!$A:$A,$B$2,Grades!$BO:$BO)=1,$C29*Thresholds_Rates!$F$15,""))))))))</f>
        <v/>
      </c>
      <c r="G29" s="81" t="str">
        <f ca="1">IF(B29="","",IF($B$2="Salary Points 3 to 57","-",IF(SUMIF(Grades!$A:$A,$B$2,Grades!$BP:$BP)=0,"-",IF(AND(OR($B$2="New Consultant Contract"),$B29&lt;&gt;""),$C29*Thresholds_Rates!$F$16,IF(AND(OR($B$2="Clinical Lecturer / Medical Research Fellow",$B$2="Clinical Consultant - Old Contract (GP)"),$B29&lt;&gt;""),$C29*Thresholds_Rates!$F$16,IF(AND(OR($B$2="APM Level 7",$B$2="R&amp;T Level 7"),F29&lt;&gt;""),$C29*Thresholds_Rates!$F$16,IF(SUMIF(Grades!$A:$A,$B$2,Grades!$BP:$BP)=1,$C29*Thresholds_Rates!$F$16,"")))))))</f>
        <v/>
      </c>
      <c r="H29" s="81" t="str">
        <f ca="1">IF($B$2="Apprenticeship","-",IF(B29="","",IF(SUMIF(Grades!$A:$A,$B$2,Grades!$BQ:$BQ)=0,"-",IF(AND($B$2="Salary Points 3 to 57",B29&gt;Thresholds_Rates!$C$17),"-",IF(AND($B$2="Salary Points 3 to 57",B29&lt;=Thresholds_Rates!$C$17),$C29*Thresholds_Rates!$F$17,IF(AND(OR($B$2="New Consultant Contract"),$B29&lt;&gt;""),$C29*Thresholds_Rates!$F$17,IF(AND(OR($B$2="Clinical Lecturer / Medical Research Fellow",$B$2="Clinical Consultant - Old Contract (GP)"),$B29&lt;&gt;""),$C29*Thresholds_Rates!$F$17,IF(AND(OR($B$2="APM Level 7",$B$2="R&amp;T Level 7"),G29&lt;&gt;""),$C29*Thresholds_Rates!$F$17,IF(SUMIF(Grades!$A:$A,$B$2,Grades!$BQ:$BQ)=1,$C29*Thresholds_Rates!$F$17,"")))))))))</f>
        <v/>
      </c>
      <c r="I29" s="81" t="str">
        <f ca="1">IF($B29="","",ROUND(($C29-(Thresholds_Rates!$C$5*12))*Thresholds_Rates!$C$10,0))</f>
        <v/>
      </c>
      <c r="J29" s="81" t="str">
        <f ca="1">IF(B29="","",(C29*Thresholds_Rates!$C$12))</f>
        <v/>
      </c>
      <c r="K29" s="81" t="str">
        <f ca="1">IF(B29="","",IF(AND($B$2="Salary Points 3 to 57",B29&gt;Thresholds_Rates!$C$17),"-",IF(SUMIF(Grades!$A:$A,$B$2,Grades!$BR:$BR)=0,"-",IF(AND($B$2="Salary Points 3 to 57",B29&lt;=Thresholds_Rates!$C$17),$C29*Thresholds_Rates!$F$18,IF(AND(OR($B$2="New Consultant Contract"),$B29&lt;&gt;""),$C29*Thresholds_Rates!$F$18,IF(AND(OR($B$2="Clinical Lecturer / Medical Research Fellow",$B$2="Clinical Consultant - Old Contract (GP)"),$B29&lt;&gt;""),$C29*Thresholds_Rates!$F$18,IF(AND(OR($B$2="APM Level 7",$B$2="R&amp;T Level 7"),I29&lt;&gt;""),$C29*Thresholds_Rates!$F$18,IF(SUMIF(Grades!$A:$A,$B$2,Grades!$BQ:$BQ)=1,$C29*Thresholds_Rates!$F$18,""))))))))</f>
        <v/>
      </c>
      <c r="L29" s="68"/>
      <c r="M29" s="81" t="str">
        <f t="shared" ca="1" si="0"/>
        <v/>
      </c>
      <c r="N29" s="81" t="str">
        <f t="shared" ca="1" si="1"/>
        <v/>
      </c>
      <c r="O29" s="81" t="str">
        <f t="shared" ca="1" si="2"/>
        <v/>
      </c>
      <c r="P29" s="81" t="str">
        <f t="shared" ca="1" si="3"/>
        <v/>
      </c>
      <c r="Q29" s="81" t="str">
        <f t="shared" ca="1" si="4"/>
        <v/>
      </c>
      <c r="S29" s="83" t="str">
        <f ca="1">IF(B29="","",IF($B$2="R&amp;T Level 5 - Clinical Lecturers (Vet School)",SUMIF('Points Lookup'!$V:$V,$B29,'Points Lookup'!$W:$W),IF($B$2="R&amp;T Level 6 - Clinical Associate Professors and Clinical Readers (Vet School)",SUMIF('Points Lookup'!$AC:$AC,$B29,'Points Lookup'!$AD:$AD),"")))</f>
        <v/>
      </c>
      <c r="T29" s="84" t="str">
        <f ca="1">IF(B29="","",IF($B$2="R&amp;T Level 5 - Clinical Lecturers (Vet School)",$C29-SUMIF('Points Lookup'!$V:$V,$B29,'Points Lookup'!$X:$X),IF($B$2="R&amp;T Level 6 - Clinical Associate Professors and Clinical Readers (Vet School)",$C29-SUMIF('Points Lookup'!$AC:$AC,$B29,'Points Lookup'!$AE:$AE),"")))</f>
        <v/>
      </c>
      <c r="U29" s="83" t="str">
        <f ca="1">IF(B29="","",IF($B$2="R&amp;T Level 5 - Clinical Lecturers (Vet School)",SUMIF('Points Lookup'!$V:$V,$B29,'Points Lookup'!$Z:$Z),IF($B$2="R&amp;T Level 6 - Clinical Associate Professors and Clinical Readers (Vet School)",SUMIF('Points Lookup'!$AC:$AC,$B29,'Points Lookup'!$AG:$AG),"")))</f>
        <v/>
      </c>
      <c r="V29" s="84" t="str">
        <f t="shared" ca="1" si="5"/>
        <v/>
      </c>
      <c r="AA29" s="39">
        <v>23</v>
      </c>
    </row>
    <row r="30" spans="2:27" x14ac:dyDescent="0.25">
      <c r="B30" s="68" t="str">
        <f ca="1">IFERROR(INDEX('Points Lookup'!$A:$A,MATCH($AA30,'Points Lookup'!$AN:$AN,0)),"")</f>
        <v/>
      </c>
      <c r="C30" s="81" t="str">
        <f ca="1">IF(B30="","",IF($B$2="Apprenticeship",SUMIF('Points Lookup'!$AJ:$AJ,B30,'Points Lookup'!$AL:$AL),IF(AND(OR($B$2="New Consultant Contract"),$B30&lt;&gt;""),INDEX('Points Lookup'!$T:$T,MATCH($B30,'Points Lookup'!$S:$S,0)),IF(AND(OR($B$2="Clinical Lecturer / Medical Research Fellow",$B$2="Clinical Consultant - Old Contract (GP)"),$B30&lt;&gt;""),INDEX('Points Lookup'!$Q:$Q,MATCH($B30,'Points Lookup'!$P:$P,0)),IF(AND(OR($B$2="APM Level 7",$B$2="R&amp;T Level 7",$B$2="APM Level 8",$B$2="Technical Services Level 7"),B30&lt;&gt;""),INDEX('Points Lookup'!$H:$H,MATCH($AA30,'Points Lookup'!$AN:$AN,0)),IF($B$2="R&amp;T Level 5 - Clinical Lecturers (Vet School)",SUMIF('Points Lookup'!$V:$V,$B30,'Points Lookup'!$Y:$Y),IF($B$2="R&amp;T Level 6 - Clinical Associate Professors and Clinical Readers (Vet School)",SUMIF('Points Lookup'!$AC:$AC,$B30,'Points Lookup'!$AF:$AF),IFERROR(INDEX('Points Lookup'!$B:$B,MATCH($AA30,'Points Lookup'!$AN:$AN,0)),""))))))))</f>
        <v/>
      </c>
      <c r="D30" s="82" t="str">
        <f ca="1">IF(B30="","",IF(AND($B$3="Y",B30&lt;7),VLOOKUP($B30,Thresholds_Rates!$I$15:$J$18,2,FALSE),"-"))</f>
        <v/>
      </c>
      <c r="E30" s="81"/>
      <c r="F30" s="81" t="str">
        <f ca="1">IF($B30="","",IF(AND($B$2="Salary Points 3 to 57",B30&lt;Thresholds_Rates!$C$16),"-",IF(SUMIF(Grades!$A:$A,$B$2,Grades!$BO:$BO)=0,"-",IF(AND($B$2="Salary Points 3 to 57",B30&gt;=Thresholds_Rates!$C$16),$C30*Thresholds_Rates!$F$15,IF(AND(OR($B$2="New Consultant Contract"),$B30&lt;&gt;""),$C30*Thresholds_Rates!$F$15,IF(AND(OR($B$2="Clinical Lecturer / Medical Research Fellow",$B$2="Clinical Consultant - Old Contract (GP)"),$B30&lt;&gt;""),$C30*Thresholds_Rates!$F$15,IF(OR($B$2="APM Level 7",$B$2="R&amp;T Level 7"),$C30*Thresholds_Rates!$F$15,IF(SUMIF(Grades!$A:$A,$B$2,Grades!$BO:$BO)=1,$C30*Thresholds_Rates!$F$15,""))))))))</f>
        <v/>
      </c>
      <c r="G30" s="81" t="str">
        <f ca="1">IF(B30="","",IF($B$2="Salary Points 3 to 57","-",IF(SUMIF(Grades!$A:$A,$B$2,Grades!$BP:$BP)=0,"-",IF(AND(OR($B$2="New Consultant Contract"),$B30&lt;&gt;""),$C30*Thresholds_Rates!$F$16,IF(AND(OR($B$2="Clinical Lecturer / Medical Research Fellow",$B$2="Clinical Consultant - Old Contract (GP)"),$B30&lt;&gt;""),$C30*Thresholds_Rates!$F$16,IF(AND(OR($B$2="APM Level 7",$B$2="R&amp;T Level 7"),F30&lt;&gt;""),$C30*Thresholds_Rates!$F$16,IF(SUMIF(Grades!$A:$A,$B$2,Grades!$BP:$BP)=1,$C30*Thresholds_Rates!$F$16,"")))))))</f>
        <v/>
      </c>
      <c r="H30" s="81" t="str">
        <f ca="1">IF($B$2="Apprenticeship","-",IF(B30="","",IF(SUMIF(Grades!$A:$A,$B$2,Grades!$BQ:$BQ)=0,"-",IF(AND($B$2="Salary Points 3 to 57",B30&gt;Thresholds_Rates!$C$17),"-",IF(AND($B$2="Salary Points 3 to 57",B30&lt;=Thresholds_Rates!$C$17),$C30*Thresholds_Rates!$F$17,IF(AND(OR($B$2="New Consultant Contract"),$B30&lt;&gt;""),$C30*Thresholds_Rates!$F$17,IF(AND(OR($B$2="Clinical Lecturer / Medical Research Fellow",$B$2="Clinical Consultant - Old Contract (GP)"),$B30&lt;&gt;""),$C30*Thresholds_Rates!$F$17,IF(AND(OR($B$2="APM Level 7",$B$2="R&amp;T Level 7"),G30&lt;&gt;""),$C30*Thresholds_Rates!$F$17,IF(SUMIF(Grades!$A:$A,$B$2,Grades!$BQ:$BQ)=1,$C30*Thresholds_Rates!$F$17,"")))))))))</f>
        <v/>
      </c>
      <c r="I30" s="81" t="str">
        <f ca="1">IF($B30="","",ROUND(($C30-(Thresholds_Rates!$C$5*12))*Thresholds_Rates!$C$10,0))</f>
        <v/>
      </c>
      <c r="J30" s="81" t="str">
        <f ca="1">IF(B30="","",(C30*Thresholds_Rates!$C$12))</f>
        <v/>
      </c>
      <c r="K30" s="81" t="str">
        <f ca="1">IF(B30="","",IF(AND($B$2="Salary Points 3 to 57",B30&gt;Thresholds_Rates!$C$17),"-",IF(SUMIF(Grades!$A:$A,$B$2,Grades!$BR:$BR)=0,"-",IF(AND($B$2="Salary Points 3 to 57",B30&lt;=Thresholds_Rates!$C$17),$C30*Thresholds_Rates!$F$18,IF(AND(OR($B$2="New Consultant Contract"),$B30&lt;&gt;""),$C30*Thresholds_Rates!$F$18,IF(AND(OR($B$2="Clinical Lecturer / Medical Research Fellow",$B$2="Clinical Consultant - Old Contract (GP)"),$B30&lt;&gt;""),$C30*Thresholds_Rates!$F$18,IF(AND(OR($B$2="APM Level 7",$B$2="R&amp;T Level 7"),I30&lt;&gt;""),$C30*Thresholds_Rates!$F$18,IF(SUMIF(Grades!$A:$A,$B$2,Grades!$BQ:$BQ)=1,$C30*Thresholds_Rates!$F$18,""))))))))</f>
        <v/>
      </c>
      <c r="L30" s="68"/>
      <c r="M30" s="81" t="str">
        <f t="shared" ca="1" si="0"/>
        <v/>
      </c>
      <c r="N30" s="81" t="str">
        <f t="shared" ca="1" si="1"/>
        <v/>
      </c>
      <c r="O30" s="81" t="str">
        <f t="shared" ca="1" si="2"/>
        <v/>
      </c>
      <c r="P30" s="81" t="str">
        <f t="shared" ca="1" si="3"/>
        <v/>
      </c>
      <c r="Q30" s="81" t="str">
        <f t="shared" ca="1" si="4"/>
        <v/>
      </c>
      <c r="S30" s="83" t="str">
        <f ca="1">IF(B30="","",IF($B$2="R&amp;T Level 5 - Clinical Lecturers (Vet School)",SUMIF('Points Lookup'!$V:$V,$B30,'Points Lookup'!$W:$W),IF($B$2="R&amp;T Level 6 - Clinical Associate Professors and Clinical Readers (Vet School)",SUMIF('Points Lookup'!$AC:$AC,$B30,'Points Lookup'!$AD:$AD),"")))</f>
        <v/>
      </c>
      <c r="T30" s="84" t="str">
        <f ca="1">IF(B30="","",IF($B$2="R&amp;T Level 5 - Clinical Lecturers (Vet School)",$C30-SUMIF('Points Lookup'!$V:$V,$B30,'Points Lookup'!$X:$X),IF($B$2="R&amp;T Level 6 - Clinical Associate Professors and Clinical Readers (Vet School)",$C30-SUMIF('Points Lookup'!$AC:$AC,$B30,'Points Lookup'!$AE:$AE),"")))</f>
        <v/>
      </c>
      <c r="U30" s="83" t="str">
        <f ca="1">IF(B30="","",IF($B$2="R&amp;T Level 5 - Clinical Lecturers (Vet School)",SUMIF('Points Lookup'!$V:$V,$B30,'Points Lookup'!$Z:$Z),IF($B$2="R&amp;T Level 6 - Clinical Associate Professors and Clinical Readers (Vet School)",SUMIF('Points Lookup'!$AC:$AC,$B30,'Points Lookup'!$AG:$AG),"")))</f>
        <v/>
      </c>
      <c r="V30" s="84" t="str">
        <f t="shared" ca="1" si="5"/>
        <v/>
      </c>
      <c r="AA30" s="39">
        <v>24</v>
      </c>
    </row>
    <row r="31" spans="2:27" x14ac:dyDescent="0.25">
      <c r="B31" s="68" t="str">
        <f ca="1">IFERROR(INDEX('Points Lookup'!$A:$A,MATCH($AA31,'Points Lookup'!$AN:$AN,0)),"")</f>
        <v/>
      </c>
      <c r="C31" s="81" t="str">
        <f ca="1">IF(B31="","",IF($B$2="Apprenticeship",SUMIF('Points Lookup'!$AJ:$AJ,B31,'Points Lookup'!$AL:$AL),IF(AND(OR($B$2="New Consultant Contract"),$B31&lt;&gt;""),INDEX('Points Lookup'!$T:$T,MATCH($B31,'Points Lookup'!$S:$S,0)),IF(AND(OR($B$2="Clinical Lecturer / Medical Research Fellow",$B$2="Clinical Consultant - Old Contract (GP)"),$B31&lt;&gt;""),INDEX('Points Lookup'!$Q:$Q,MATCH($B31,'Points Lookup'!$P:$P,0)),IF(AND(OR($B$2="APM Level 7",$B$2="R&amp;T Level 7",$B$2="APM Level 8",$B$2="Technical Services Level 7"),B31&lt;&gt;""),INDEX('Points Lookup'!$H:$H,MATCH($AA31,'Points Lookup'!$AN:$AN,0)),IF($B$2="R&amp;T Level 5 - Clinical Lecturers (Vet School)",SUMIF('Points Lookup'!$V:$V,$B31,'Points Lookup'!$Y:$Y),IF($B$2="R&amp;T Level 6 - Clinical Associate Professors and Clinical Readers (Vet School)",SUMIF('Points Lookup'!$AC:$AC,$B31,'Points Lookup'!$AF:$AF),IFERROR(INDEX('Points Lookup'!$B:$B,MATCH($AA31,'Points Lookup'!$AN:$AN,0)),""))))))))</f>
        <v/>
      </c>
      <c r="D31" s="82" t="str">
        <f ca="1">IF(B31="","",IF(AND($B$3="Y",B31&lt;7),VLOOKUP($B31,Thresholds_Rates!$I$15:$J$18,2,FALSE),"-"))</f>
        <v/>
      </c>
      <c r="E31" s="81"/>
      <c r="F31" s="81" t="str">
        <f ca="1">IF($B31="","",IF(AND($B$2="Salary Points 3 to 57",B31&lt;Thresholds_Rates!$C$16),"-",IF(SUMIF(Grades!$A:$A,$B$2,Grades!$BO:$BO)=0,"-",IF(AND($B$2="Salary Points 3 to 57",B31&gt;=Thresholds_Rates!$C$16),$C31*Thresholds_Rates!$F$15,IF(AND(OR($B$2="New Consultant Contract"),$B31&lt;&gt;""),$C31*Thresholds_Rates!$F$15,IF(AND(OR($B$2="Clinical Lecturer / Medical Research Fellow",$B$2="Clinical Consultant - Old Contract (GP)"),$B31&lt;&gt;""),$C31*Thresholds_Rates!$F$15,IF(OR($B$2="APM Level 7",$B$2="R&amp;T Level 7"),$C31*Thresholds_Rates!$F$15,IF(SUMIF(Grades!$A:$A,$B$2,Grades!$BO:$BO)=1,$C31*Thresholds_Rates!$F$15,""))))))))</f>
        <v/>
      </c>
      <c r="G31" s="81" t="str">
        <f ca="1">IF(B31="","",IF($B$2="Salary Points 3 to 57","-",IF(SUMIF(Grades!$A:$A,$B$2,Grades!$BP:$BP)=0,"-",IF(AND(OR($B$2="New Consultant Contract"),$B31&lt;&gt;""),$C31*Thresholds_Rates!$F$16,IF(AND(OR($B$2="Clinical Lecturer / Medical Research Fellow",$B$2="Clinical Consultant - Old Contract (GP)"),$B31&lt;&gt;""),$C31*Thresholds_Rates!$F$16,IF(AND(OR($B$2="APM Level 7",$B$2="R&amp;T Level 7"),F31&lt;&gt;""),$C31*Thresholds_Rates!$F$16,IF(SUMIF(Grades!$A:$A,$B$2,Grades!$BP:$BP)=1,$C31*Thresholds_Rates!$F$16,"")))))))</f>
        <v/>
      </c>
      <c r="H31" s="81" t="str">
        <f ca="1">IF($B$2="Apprenticeship","-",IF(B31="","",IF(SUMIF(Grades!$A:$A,$B$2,Grades!$BQ:$BQ)=0,"-",IF(AND($B$2="Salary Points 3 to 57",B31&gt;Thresholds_Rates!$C$17),"-",IF(AND($B$2="Salary Points 3 to 57",B31&lt;=Thresholds_Rates!$C$17),$C31*Thresholds_Rates!$F$17,IF(AND(OR($B$2="New Consultant Contract"),$B31&lt;&gt;""),$C31*Thresholds_Rates!$F$17,IF(AND(OR($B$2="Clinical Lecturer / Medical Research Fellow",$B$2="Clinical Consultant - Old Contract (GP)"),$B31&lt;&gt;""),$C31*Thresholds_Rates!$F$17,IF(AND(OR($B$2="APM Level 7",$B$2="R&amp;T Level 7"),G31&lt;&gt;""),$C31*Thresholds_Rates!$F$17,IF(SUMIF(Grades!$A:$A,$B$2,Grades!$BQ:$BQ)=1,$C31*Thresholds_Rates!$F$17,"")))))))))</f>
        <v/>
      </c>
      <c r="I31" s="81" t="str">
        <f ca="1">IF($B31="","",ROUND(($C31-(Thresholds_Rates!$C$5*12))*Thresholds_Rates!$C$10,0))</f>
        <v/>
      </c>
      <c r="J31" s="81" t="str">
        <f ca="1">IF(B31="","",(C31*Thresholds_Rates!$C$12))</f>
        <v/>
      </c>
      <c r="K31" s="81" t="str">
        <f ca="1">IF(B31="","",IF(AND($B$2="Salary Points 3 to 57",B31&gt;Thresholds_Rates!$C$17),"-",IF(SUMIF(Grades!$A:$A,$B$2,Grades!$BR:$BR)=0,"-",IF(AND($B$2="Salary Points 3 to 57",B31&lt;=Thresholds_Rates!$C$17),$C31*Thresholds_Rates!$F$18,IF(AND(OR($B$2="New Consultant Contract"),$B31&lt;&gt;""),$C31*Thresholds_Rates!$F$18,IF(AND(OR($B$2="Clinical Lecturer / Medical Research Fellow",$B$2="Clinical Consultant - Old Contract (GP)"),$B31&lt;&gt;""),$C31*Thresholds_Rates!$F$18,IF(AND(OR($B$2="APM Level 7",$B$2="R&amp;T Level 7"),I31&lt;&gt;""),$C31*Thresholds_Rates!$F$18,IF(SUMIF(Grades!$A:$A,$B$2,Grades!$BQ:$BQ)=1,$C31*Thresholds_Rates!$F$18,""))))))))</f>
        <v/>
      </c>
      <c r="L31" s="68"/>
      <c r="M31" s="81" t="str">
        <f t="shared" ca="1" si="0"/>
        <v/>
      </c>
      <c r="N31" s="81" t="str">
        <f t="shared" ca="1" si="1"/>
        <v/>
      </c>
      <c r="O31" s="81" t="str">
        <f t="shared" ca="1" si="2"/>
        <v/>
      </c>
      <c r="P31" s="81" t="str">
        <f t="shared" ca="1" si="3"/>
        <v/>
      </c>
      <c r="Q31" s="81" t="str">
        <f t="shared" ca="1" si="4"/>
        <v/>
      </c>
      <c r="S31" s="83" t="str">
        <f ca="1">IF(B31="","",IF($B$2="R&amp;T Level 5 - Clinical Lecturers (Vet School)",SUMIF('Points Lookup'!$V:$V,$B31,'Points Lookup'!$W:$W),IF($B$2="R&amp;T Level 6 - Clinical Associate Professors and Clinical Readers (Vet School)",SUMIF('Points Lookup'!$AC:$AC,$B31,'Points Lookup'!$AD:$AD),"")))</f>
        <v/>
      </c>
      <c r="T31" s="84" t="str">
        <f ca="1">IF(B31="","",IF($B$2="R&amp;T Level 5 - Clinical Lecturers (Vet School)",$C31-SUMIF('Points Lookup'!$V:$V,$B31,'Points Lookup'!$X:$X),IF($B$2="R&amp;T Level 6 - Clinical Associate Professors and Clinical Readers (Vet School)",$C31-SUMIF('Points Lookup'!$AC:$AC,$B31,'Points Lookup'!$AE:$AE),"")))</f>
        <v/>
      </c>
      <c r="U31" s="83" t="str">
        <f ca="1">IF(B31="","",IF($B$2="R&amp;T Level 5 - Clinical Lecturers (Vet School)",SUMIF('Points Lookup'!$V:$V,$B31,'Points Lookup'!$Z:$Z),IF($B$2="R&amp;T Level 6 - Clinical Associate Professors and Clinical Readers (Vet School)",SUMIF('Points Lookup'!$AC:$AC,$B31,'Points Lookup'!$AG:$AG),"")))</f>
        <v/>
      </c>
      <c r="V31" s="84" t="str">
        <f t="shared" ca="1" si="5"/>
        <v/>
      </c>
      <c r="AA31" s="39">
        <v>25</v>
      </c>
    </row>
    <row r="32" spans="2:27" x14ac:dyDescent="0.25">
      <c r="B32" s="68" t="str">
        <f ca="1">IFERROR(INDEX('Points Lookup'!$A:$A,MATCH($AA32,'Points Lookup'!$AN:$AN,0)),"")</f>
        <v/>
      </c>
      <c r="C32" s="81" t="str">
        <f ca="1">IF(B32="","",IF($B$2="Apprenticeship",SUMIF('Points Lookup'!$AJ:$AJ,B32,'Points Lookup'!$AL:$AL),IF(AND(OR($B$2="New Consultant Contract"),$B32&lt;&gt;""),INDEX('Points Lookup'!$T:$T,MATCH($B32,'Points Lookup'!$S:$S,0)),IF(AND(OR($B$2="Clinical Lecturer / Medical Research Fellow",$B$2="Clinical Consultant - Old Contract (GP)"),$B32&lt;&gt;""),INDEX('Points Lookup'!$Q:$Q,MATCH($B32,'Points Lookup'!$P:$P,0)),IF(AND(OR($B$2="APM Level 7",$B$2="R&amp;T Level 7",$B$2="APM Level 8",$B$2="Technical Services Level 7"),B32&lt;&gt;""),INDEX('Points Lookup'!$H:$H,MATCH($AA32,'Points Lookup'!$AN:$AN,0)),IF($B$2="R&amp;T Level 5 - Clinical Lecturers (Vet School)",SUMIF('Points Lookup'!$V:$V,$B32,'Points Lookup'!$Y:$Y),IF($B$2="R&amp;T Level 6 - Clinical Associate Professors and Clinical Readers (Vet School)",SUMIF('Points Lookup'!$AC:$AC,$B32,'Points Lookup'!$AF:$AF),IFERROR(INDEX('Points Lookup'!$B:$B,MATCH($AA32,'Points Lookup'!$AN:$AN,0)),""))))))))</f>
        <v/>
      </c>
      <c r="D32" s="82" t="str">
        <f ca="1">IF(B32="","",IF(AND($B$3="Y",B32&lt;7),VLOOKUP($B32,Thresholds_Rates!$I$15:$J$18,2,FALSE),"-"))</f>
        <v/>
      </c>
      <c r="E32" s="81"/>
      <c r="F32" s="81" t="str">
        <f ca="1">IF($B32="","",IF(AND($B$2="Salary Points 3 to 57",B32&lt;Thresholds_Rates!$C$16),"-",IF(SUMIF(Grades!$A:$A,$B$2,Grades!$BO:$BO)=0,"-",IF(AND($B$2="Salary Points 3 to 57",B32&gt;=Thresholds_Rates!$C$16),$C32*Thresholds_Rates!$F$15,IF(AND(OR($B$2="New Consultant Contract"),$B32&lt;&gt;""),$C32*Thresholds_Rates!$F$15,IF(AND(OR($B$2="Clinical Lecturer / Medical Research Fellow",$B$2="Clinical Consultant - Old Contract (GP)"),$B32&lt;&gt;""),$C32*Thresholds_Rates!$F$15,IF(OR($B$2="APM Level 7",$B$2="R&amp;T Level 7"),$C32*Thresholds_Rates!$F$15,IF(SUMIF(Grades!$A:$A,$B$2,Grades!$BO:$BO)=1,$C32*Thresholds_Rates!$F$15,""))))))))</f>
        <v/>
      </c>
      <c r="G32" s="81" t="str">
        <f ca="1">IF(B32="","",IF($B$2="Salary Points 3 to 57","-",IF(SUMIF(Grades!$A:$A,$B$2,Grades!$BP:$BP)=0,"-",IF(AND(OR($B$2="New Consultant Contract"),$B32&lt;&gt;""),$C32*Thresholds_Rates!$F$16,IF(AND(OR($B$2="Clinical Lecturer / Medical Research Fellow",$B$2="Clinical Consultant - Old Contract (GP)"),$B32&lt;&gt;""),$C32*Thresholds_Rates!$F$16,IF(AND(OR($B$2="APM Level 7",$B$2="R&amp;T Level 7"),F32&lt;&gt;""),$C32*Thresholds_Rates!$F$16,IF(SUMIF(Grades!$A:$A,$B$2,Grades!$BP:$BP)=1,$C32*Thresholds_Rates!$F$16,"")))))))</f>
        <v/>
      </c>
      <c r="H32" s="81" t="str">
        <f ca="1">IF($B$2="Apprenticeship","-",IF(B32="","",IF(SUMIF(Grades!$A:$A,$B$2,Grades!$BQ:$BQ)=0,"-",IF(AND($B$2="Salary Points 3 to 57",B32&gt;Thresholds_Rates!$C$17),"-",IF(AND($B$2="Salary Points 3 to 57",B32&lt;=Thresholds_Rates!$C$17),$C32*Thresholds_Rates!$F$17,IF(AND(OR($B$2="New Consultant Contract"),$B32&lt;&gt;""),$C32*Thresholds_Rates!$F$17,IF(AND(OR($B$2="Clinical Lecturer / Medical Research Fellow",$B$2="Clinical Consultant - Old Contract (GP)"),$B32&lt;&gt;""),$C32*Thresholds_Rates!$F$17,IF(AND(OR($B$2="APM Level 7",$B$2="R&amp;T Level 7"),G32&lt;&gt;""),$C32*Thresholds_Rates!$F$17,IF(SUMIF(Grades!$A:$A,$B$2,Grades!$BQ:$BQ)=1,$C32*Thresholds_Rates!$F$17,"")))))))))</f>
        <v/>
      </c>
      <c r="I32" s="81" t="str">
        <f ca="1">IF($B32="","",ROUND(($C32-(Thresholds_Rates!$C$5*12))*Thresholds_Rates!$C$10,0))</f>
        <v/>
      </c>
      <c r="J32" s="81" t="str">
        <f ca="1">IF(B32="","",(C32*Thresholds_Rates!$C$12))</f>
        <v/>
      </c>
      <c r="K32" s="81" t="str">
        <f ca="1">IF(B32="","",IF(AND($B$2="Salary Points 3 to 57",B32&gt;Thresholds_Rates!$C$17),"-",IF(SUMIF(Grades!$A:$A,$B$2,Grades!$BR:$BR)=0,"-",IF(AND($B$2="Salary Points 3 to 57",B32&lt;=Thresholds_Rates!$C$17),$C32*Thresholds_Rates!$F$18,IF(AND(OR($B$2="New Consultant Contract"),$B32&lt;&gt;""),$C32*Thresholds_Rates!$F$18,IF(AND(OR($B$2="Clinical Lecturer / Medical Research Fellow",$B$2="Clinical Consultant - Old Contract (GP)"),$B32&lt;&gt;""),$C32*Thresholds_Rates!$F$18,IF(AND(OR($B$2="APM Level 7",$B$2="R&amp;T Level 7"),I32&lt;&gt;""),$C32*Thresholds_Rates!$F$18,IF(SUMIF(Grades!$A:$A,$B$2,Grades!$BQ:$BQ)=1,$C32*Thresholds_Rates!$F$18,""))))))))</f>
        <v/>
      </c>
      <c r="L32" s="68"/>
      <c r="M32" s="81" t="str">
        <f t="shared" ca="1" si="0"/>
        <v/>
      </c>
      <c r="N32" s="81" t="str">
        <f t="shared" ca="1" si="1"/>
        <v/>
      </c>
      <c r="O32" s="81" t="str">
        <f t="shared" ca="1" si="2"/>
        <v/>
      </c>
      <c r="P32" s="81" t="str">
        <f t="shared" ca="1" si="3"/>
        <v/>
      </c>
      <c r="Q32" s="81" t="str">
        <f t="shared" ca="1" si="4"/>
        <v/>
      </c>
      <c r="S32" s="83" t="str">
        <f ca="1">IF(B32="","",IF($B$2="R&amp;T Level 5 - Clinical Lecturers (Vet School)",SUMIF('Points Lookup'!$V:$V,$B32,'Points Lookup'!$W:$W),IF($B$2="R&amp;T Level 6 - Clinical Associate Professors and Clinical Readers (Vet School)",SUMIF('Points Lookup'!$AC:$AC,$B32,'Points Lookup'!$AD:$AD),"")))</f>
        <v/>
      </c>
      <c r="T32" s="84" t="str">
        <f ca="1">IF(B32="","",IF($B$2="R&amp;T Level 5 - Clinical Lecturers (Vet School)",$C32-SUMIF('Points Lookup'!$V:$V,$B32,'Points Lookup'!$X:$X),IF($B$2="R&amp;T Level 6 - Clinical Associate Professors and Clinical Readers (Vet School)",$C32-SUMIF('Points Lookup'!$AC:$AC,$B32,'Points Lookup'!$AE:$AE),"")))</f>
        <v/>
      </c>
      <c r="U32" s="83" t="str">
        <f ca="1">IF(B32="","",IF($B$2="R&amp;T Level 5 - Clinical Lecturers (Vet School)",SUMIF('Points Lookup'!$V:$V,$B32,'Points Lookup'!$Z:$Z),IF($B$2="R&amp;T Level 6 - Clinical Associate Professors and Clinical Readers (Vet School)",SUMIF('Points Lookup'!$AC:$AC,$B32,'Points Lookup'!$AG:$AG),"")))</f>
        <v/>
      </c>
      <c r="V32" s="84" t="str">
        <f t="shared" ca="1" si="5"/>
        <v/>
      </c>
      <c r="AA32" s="39">
        <v>26</v>
      </c>
    </row>
    <row r="33" spans="2:27" x14ac:dyDescent="0.25">
      <c r="B33" s="68" t="str">
        <f ca="1">IFERROR(INDEX('Points Lookup'!$A:$A,MATCH($AA33,'Points Lookup'!$AN:$AN,0)),"")</f>
        <v/>
      </c>
      <c r="C33" s="81" t="str">
        <f ca="1">IF(B33="","",IF($B$2="Apprenticeship",SUMIF('Points Lookup'!$AJ:$AJ,B33,'Points Lookup'!$AL:$AL),IF(AND(OR($B$2="New Consultant Contract"),$B33&lt;&gt;""),INDEX('Points Lookup'!$T:$T,MATCH($B33,'Points Lookup'!$S:$S,0)),IF(AND(OR($B$2="Clinical Lecturer / Medical Research Fellow",$B$2="Clinical Consultant - Old Contract (GP)"),$B33&lt;&gt;""),INDEX('Points Lookup'!$Q:$Q,MATCH($B33,'Points Lookup'!$P:$P,0)),IF(AND(OR($B$2="APM Level 7",$B$2="R&amp;T Level 7",$B$2="APM Level 8",$B$2="Technical Services Level 7"),B33&lt;&gt;""),INDEX('Points Lookup'!$H:$H,MATCH($AA33,'Points Lookup'!$AN:$AN,0)),IF($B$2="R&amp;T Level 5 - Clinical Lecturers (Vet School)",SUMIF('Points Lookup'!$V:$V,$B33,'Points Lookup'!$Y:$Y),IF($B$2="R&amp;T Level 6 - Clinical Associate Professors and Clinical Readers (Vet School)",SUMIF('Points Lookup'!$AC:$AC,$B33,'Points Lookup'!$AF:$AF),IFERROR(INDEX('Points Lookup'!$B:$B,MATCH($AA33,'Points Lookup'!$AN:$AN,0)),""))))))))</f>
        <v/>
      </c>
      <c r="D33" s="82" t="str">
        <f ca="1">IF(B33="","",IF(AND($B$3="Y",B33&lt;7),VLOOKUP($B33,Thresholds_Rates!$I$15:$J$18,2,FALSE),"-"))</f>
        <v/>
      </c>
      <c r="E33" s="81"/>
      <c r="F33" s="81" t="str">
        <f ca="1">IF($B33="","",IF(AND($B$2="Salary Points 3 to 57",B33&lt;Thresholds_Rates!$C$16),"-",IF(SUMIF(Grades!$A:$A,$B$2,Grades!$BO:$BO)=0,"-",IF(AND($B$2="Salary Points 3 to 57",B33&gt;=Thresholds_Rates!$C$16),$C33*Thresholds_Rates!$F$15,IF(AND(OR($B$2="New Consultant Contract"),$B33&lt;&gt;""),$C33*Thresholds_Rates!$F$15,IF(AND(OR($B$2="Clinical Lecturer / Medical Research Fellow",$B$2="Clinical Consultant - Old Contract (GP)"),$B33&lt;&gt;""),$C33*Thresholds_Rates!$F$15,IF(OR($B$2="APM Level 7",$B$2="R&amp;T Level 7"),$C33*Thresholds_Rates!$F$15,IF(SUMIF(Grades!$A:$A,$B$2,Grades!$BO:$BO)=1,$C33*Thresholds_Rates!$F$15,""))))))))</f>
        <v/>
      </c>
      <c r="G33" s="81" t="str">
        <f ca="1">IF(B33="","",IF($B$2="Salary Points 3 to 57","-",IF(SUMIF(Grades!$A:$A,$B$2,Grades!$BP:$BP)=0,"-",IF(AND(OR($B$2="New Consultant Contract"),$B33&lt;&gt;""),$C33*Thresholds_Rates!$F$16,IF(AND(OR($B$2="Clinical Lecturer / Medical Research Fellow",$B$2="Clinical Consultant - Old Contract (GP)"),$B33&lt;&gt;""),$C33*Thresholds_Rates!$F$16,IF(AND(OR($B$2="APM Level 7",$B$2="R&amp;T Level 7"),F33&lt;&gt;""),$C33*Thresholds_Rates!$F$16,IF(SUMIF(Grades!$A:$A,$B$2,Grades!$BP:$BP)=1,$C33*Thresholds_Rates!$F$16,"")))))))</f>
        <v/>
      </c>
      <c r="H33" s="81" t="str">
        <f ca="1">IF($B$2="Apprenticeship","-",IF(B33="","",IF(SUMIF(Grades!$A:$A,$B$2,Grades!$BQ:$BQ)=0,"-",IF(AND($B$2="Salary Points 3 to 57",B33&gt;Thresholds_Rates!$C$17),"-",IF(AND($B$2="Salary Points 3 to 57",B33&lt;=Thresholds_Rates!$C$17),$C33*Thresholds_Rates!$F$17,IF(AND(OR($B$2="New Consultant Contract"),$B33&lt;&gt;""),$C33*Thresholds_Rates!$F$17,IF(AND(OR($B$2="Clinical Lecturer / Medical Research Fellow",$B$2="Clinical Consultant - Old Contract (GP)"),$B33&lt;&gt;""),$C33*Thresholds_Rates!$F$17,IF(AND(OR($B$2="APM Level 7",$B$2="R&amp;T Level 7"),G33&lt;&gt;""),$C33*Thresholds_Rates!$F$17,IF(SUMIF(Grades!$A:$A,$B$2,Grades!$BQ:$BQ)=1,$C33*Thresholds_Rates!$F$17,"")))))))))</f>
        <v/>
      </c>
      <c r="I33" s="81" t="str">
        <f ca="1">IF($B33="","",ROUND(($C33-(Thresholds_Rates!$C$5*12))*Thresholds_Rates!$C$10,0))</f>
        <v/>
      </c>
      <c r="J33" s="81" t="str">
        <f ca="1">IF(B33="","",(C33*Thresholds_Rates!$C$12))</f>
        <v/>
      </c>
      <c r="K33" s="81" t="str">
        <f ca="1">IF(B33="","",IF(AND($B$2="Salary Points 3 to 57",B33&gt;Thresholds_Rates!$C$17),"-",IF(SUMIF(Grades!$A:$A,$B$2,Grades!$BR:$BR)=0,"-",IF(AND($B$2="Salary Points 3 to 57",B33&lt;=Thresholds_Rates!$C$17),$C33*Thresholds_Rates!$F$18,IF(AND(OR($B$2="New Consultant Contract"),$B33&lt;&gt;""),$C33*Thresholds_Rates!$F$18,IF(AND(OR($B$2="Clinical Lecturer / Medical Research Fellow",$B$2="Clinical Consultant - Old Contract (GP)"),$B33&lt;&gt;""),$C33*Thresholds_Rates!$F$18,IF(AND(OR($B$2="APM Level 7",$B$2="R&amp;T Level 7"),I33&lt;&gt;""),$C33*Thresholds_Rates!$F$18,IF(SUMIF(Grades!$A:$A,$B$2,Grades!$BQ:$BQ)=1,$C33*Thresholds_Rates!$F$18,""))))))))</f>
        <v/>
      </c>
      <c r="L33" s="68"/>
      <c r="M33" s="81" t="str">
        <f t="shared" ca="1" si="0"/>
        <v/>
      </c>
      <c r="N33" s="81" t="str">
        <f t="shared" ca="1" si="1"/>
        <v/>
      </c>
      <c r="O33" s="81" t="str">
        <f t="shared" ca="1" si="2"/>
        <v/>
      </c>
      <c r="P33" s="81" t="str">
        <f t="shared" ca="1" si="3"/>
        <v/>
      </c>
      <c r="Q33" s="81" t="str">
        <f t="shared" ca="1" si="4"/>
        <v/>
      </c>
      <c r="S33" s="83" t="str">
        <f ca="1">IF(B33="","",IF($B$2="R&amp;T Level 5 - Clinical Lecturers (Vet School)",SUMIF('Points Lookup'!$V:$V,$B33,'Points Lookup'!$W:$W),IF($B$2="R&amp;T Level 6 - Clinical Associate Professors and Clinical Readers (Vet School)",SUMIF('Points Lookup'!$AC:$AC,$B33,'Points Lookup'!$AD:$AD),"")))</f>
        <v/>
      </c>
      <c r="T33" s="84" t="str">
        <f ca="1">IF(B33="","",IF($B$2="R&amp;T Level 5 - Clinical Lecturers (Vet School)",$C33-SUMIF('Points Lookup'!$V:$V,$B33,'Points Lookup'!$X:$X),IF($B$2="R&amp;T Level 6 - Clinical Associate Professors and Clinical Readers (Vet School)",$C33-SUMIF('Points Lookup'!$AC:$AC,$B33,'Points Lookup'!$AE:$AE),"")))</f>
        <v/>
      </c>
      <c r="U33" s="83" t="str">
        <f ca="1">IF(B33="","",IF($B$2="R&amp;T Level 5 - Clinical Lecturers (Vet School)",SUMIF('Points Lookup'!$V:$V,$B33,'Points Lookup'!$Z:$Z),IF($B$2="R&amp;T Level 6 - Clinical Associate Professors and Clinical Readers (Vet School)",SUMIF('Points Lookup'!$AC:$AC,$B33,'Points Lookup'!$AG:$AG),"")))</f>
        <v/>
      </c>
      <c r="V33" s="84" t="str">
        <f t="shared" ca="1" si="5"/>
        <v/>
      </c>
      <c r="AA33" s="39">
        <v>27</v>
      </c>
    </row>
    <row r="34" spans="2:27" x14ac:dyDescent="0.25">
      <c r="B34" s="68" t="str">
        <f ca="1">IFERROR(INDEX('Points Lookup'!$A:$A,MATCH($AA34,'Points Lookup'!$AN:$AN,0)),"")</f>
        <v/>
      </c>
      <c r="C34" s="81" t="str">
        <f ca="1">IF(B34="","",IF($B$2="Apprenticeship",SUMIF('Points Lookup'!$AJ:$AJ,B34,'Points Lookup'!$AL:$AL),IF(AND(OR($B$2="New Consultant Contract"),$B34&lt;&gt;""),INDEX('Points Lookup'!$T:$T,MATCH($B34,'Points Lookup'!$S:$S,0)),IF(AND(OR($B$2="Clinical Lecturer / Medical Research Fellow",$B$2="Clinical Consultant - Old Contract (GP)"),$B34&lt;&gt;""),INDEX('Points Lookup'!$Q:$Q,MATCH($B34,'Points Lookup'!$P:$P,0)),IF(AND(OR($B$2="APM Level 7",$B$2="R&amp;T Level 7",$B$2="APM Level 8",$B$2="Technical Services Level 7"),B34&lt;&gt;""),INDEX('Points Lookup'!$H:$H,MATCH($AA34,'Points Lookup'!$AN:$AN,0)),IF($B$2="R&amp;T Level 5 - Clinical Lecturers (Vet School)",SUMIF('Points Lookup'!$V:$V,$B34,'Points Lookup'!$Y:$Y),IF($B$2="R&amp;T Level 6 - Clinical Associate Professors and Clinical Readers (Vet School)",SUMIF('Points Lookup'!$AC:$AC,$B34,'Points Lookup'!$AF:$AF),IFERROR(INDEX('Points Lookup'!$B:$B,MATCH($AA34,'Points Lookup'!$AN:$AN,0)),""))))))))</f>
        <v/>
      </c>
      <c r="D34" s="82" t="str">
        <f ca="1">IF(B34="","",IF(AND($B$3="Y",B34&lt;7),VLOOKUP($B34,Thresholds_Rates!$I$15:$J$18,2,FALSE),"-"))</f>
        <v/>
      </c>
      <c r="E34" s="81"/>
      <c r="F34" s="81" t="str">
        <f ca="1">IF($B34="","",IF(AND($B$2="Salary Points 3 to 57",B34&lt;Thresholds_Rates!$C$16),"-",IF(SUMIF(Grades!$A:$A,$B$2,Grades!$BO:$BO)=0,"-",IF(AND($B$2="Salary Points 3 to 57",B34&gt;=Thresholds_Rates!$C$16),$C34*Thresholds_Rates!$F$15,IF(AND(OR($B$2="New Consultant Contract"),$B34&lt;&gt;""),$C34*Thresholds_Rates!$F$15,IF(AND(OR($B$2="Clinical Lecturer / Medical Research Fellow",$B$2="Clinical Consultant - Old Contract (GP)"),$B34&lt;&gt;""),$C34*Thresholds_Rates!$F$15,IF(OR($B$2="APM Level 7",$B$2="R&amp;T Level 7"),$C34*Thresholds_Rates!$F$15,IF(SUMIF(Grades!$A:$A,$B$2,Grades!$BO:$BO)=1,$C34*Thresholds_Rates!$F$15,""))))))))</f>
        <v/>
      </c>
      <c r="G34" s="81" t="str">
        <f ca="1">IF(B34="","",IF($B$2="Salary Points 3 to 57","-",IF(SUMIF(Grades!$A:$A,$B$2,Grades!$BP:$BP)=0,"-",IF(AND(OR($B$2="New Consultant Contract"),$B34&lt;&gt;""),$C34*Thresholds_Rates!$F$16,IF(AND(OR($B$2="Clinical Lecturer / Medical Research Fellow",$B$2="Clinical Consultant - Old Contract (GP)"),$B34&lt;&gt;""),$C34*Thresholds_Rates!$F$16,IF(AND(OR($B$2="APM Level 7",$B$2="R&amp;T Level 7"),F34&lt;&gt;""),$C34*Thresholds_Rates!$F$16,IF(SUMIF(Grades!$A:$A,$B$2,Grades!$BP:$BP)=1,$C34*Thresholds_Rates!$F$16,"")))))))</f>
        <v/>
      </c>
      <c r="H34" s="81" t="str">
        <f ca="1">IF($B$2="Apprenticeship","-",IF(B34="","",IF(SUMIF(Grades!$A:$A,$B$2,Grades!$BQ:$BQ)=0,"-",IF(AND($B$2="Salary Points 3 to 57",B34&gt;Thresholds_Rates!$C$17),"-",IF(AND($B$2="Salary Points 3 to 57",B34&lt;=Thresholds_Rates!$C$17),$C34*Thresholds_Rates!$F$17,IF(AND(OR($B$2="New Consultant Contract"),$B34&lt;&gt;""),$C34*Thresholds_Rates!$F$17,IF(AND(OR($B$2="Clinical Lecturer / Medical Research Fellow",$B$2="Clinical Consultant - Old Contract (GP)"),$B34&lt;&gt;""),$C34*Thresholds_Rates!$F$17,IF(AND(OR($B$2="APM Level 7",$B$2="R&amp;T Level 7"),G34&lt;&gt;""),$C34*Thresholds_Rates!$F$17,IF(SUMIF(Grades!$A:$A,$B$2,Grades!$BQ:$BQ)=1,$C34*Thresholds_Rates!$F$17,"")))))))))</f>
        <v/>
      </c>
      <c r="I34" s="81" t="str">
        <f ca="1">IF($B34="","",ROUND(($C34-(Thresholds_Rates!$C$5*12))*Thresholds_Rates!$C$10,0))</f>
        <v/>
      </c>
      <c r="J34" s="81" t="str">
        <f ca="1">IF(B34="","",(C34*Thresholds_Rates!$C$12))</f>
        <v/>
      </c>
      <c r="K34" s="81" t="str">
        <f ca="1">IF(B34="","",IF(AND($B$2="Salary Points 3 to 57",B34&gt;Thresholds_Rates!$C$17),"-",IF(SUMIF(Grades!$A:$A,$B$2,Grades!$BR:$BR)=0,"-",IF(AND($B$2="Salary Points 3 to 57",B34&lt;=Thresholds_Rates!$C$17),$C34*Thresholds_Rates!$F$18,IF(AND(OR($B$2="New Consultant Contract"),$B34&lt;&gt;""),$C34*Thresholds_Rates!$F$18,IF(AND(OR($B$2="Clinical Lecturer / Medical Research Fellow",$B$2="Clinical Consultant - Old Contract (GP)"),$B34&lt;&gt;""),$C34*Thresholds_Rates!$F$18,IF(AND(OR($B$2="APM Level 7",$B$2="R&amp;T Level 7"),I34&lt;&gt;""),$C34*Thresholds_Rates!$F$18,IF(SUMIF(Grades!$A:$A,$B$2,Grades!$BQ:$BQ)=1,$C34*Thresholds_Rates!$F$18,""))))))))</f>
        <v/>
      </c>
      <c r="L34" s="68"/>
      <c r="M34" s="81" t="str">
        <f t="shared" ca="1" si="0"/>
        <v/>
      </c>
      <c r="N34" s="81" t="str">
        <f t="shared" ca="1" si="1"/>
        <v/>
      </c>
      <c r="O34" s="81" t="str">
        <f t="shared" ca="1" si="2"/>
        <v/>
      </c>
      <c r="P34" s="81" t="str">
        <f t="shared" ca="1" si="3"/>
        <v/>
      </c>
      <c r="Q34" s="81" t="str">
        <f t="shared" ca="1" si="4"/>
        <v/>
      </c>
      <c r="S34" s="83" t="str">
        <f ca="1">IF(B34="","",IF($B$2="R&amp;T Level 5 - Clinical Lecturers (Vet School)",SUMIF('Points Lookup'!$V:$V,$B34,'Points Lookup'!$W:$W),IF($B$2="R&amp;T Level 6 - Clinical Associate Professors and Clinical Readers (Vet School)",SUMIF('Points Lookup'!$AC:$AC,$B34,'Points Lookup'!$AD:$AD),"")))</f>
        <v/>
      </c>
      <c r="T34" s="84" t="str">
        <f ca="1">IF(B34="","",IF($B$2="R&amp;T Level 5 - Clinical Lecturers (Vet School)",$C34-SUMIF('Points Lookup'!$V:$V,$B34,'Points Lookup'!$X:$X),IF($B$2="R&amp;T Level 6 - Clinical Associate Professors and Clinical Readers (Vet School)",$C34-SUMIF('Points Lookup'!$AC:$AC,$B34,'Points Lookup'!$AE:$AE),"")))</f>
        <v/>
      </c>
      <c r="U34" s="83" t="str">
        <f ca="1">IF(B34="","",IF($B$2="R&amp;T Level 5 - Clinical Lecturers (Vet School)",SUMIF('Points Lookup'!$V:$V,$B34,'Points Lookup'!$Z:$Z),IF($B$2="R&amp;T Level 6 - Clinical Associate Professors and Clinical Readers (Vet School)",SUMIF('Points Lookup'!$AC:$AC,$B34,'Points Lookup'!$AG:$AG),"")))</f>
        <v/>
      </c>
      <c r="V34" s="84" t="str">
        <f t="shared" ca="1" si="5"/>
        <v/>
      </c>
      <c r="AA34" s="39">
        <v>28</v>
      </c>
    </row>
    <row r="35" spans="2:27" x14ac:dyDescent="0.25">
      <c r="B35" s="68" t="str">
        <f ca="1">IFERROR(INDEX('Points Lookup'!$A:$A,MATCH($AA35,'Points Lookup'!$AN:$AN,0)),"")</f>
        <v/>
      </c>
      <c r="C35" s="81" t="str">
        <f ca="1">IF(B35="","",IF($B$2="Apprenticeship",SUMIF('Points Lookup'!$AJ:$AJ,B35,'Points Lookup'!$AL:$AL),IF(AND(OR($B$2="New Consultant Contract"),$B35&lt;&gt;""),INDEX('Points Lookup'!$T:$T,MATCH($B35,'Points Lookup'!$S:$S,0)),IF(AND(OR($B$2="Clinical Lecturer / Medical Research Fellow",$B$2="Clinical Consultant - Old Contract (GP)"),$B35&lt;&gt;""),INDEX('Points Lookup'!$Q:$Q,MATCH($B35,'Points Lookup'!$P:$P,0)),IF(AND(OR($B$2="APM Level 7",$B$2="R&amp;T Level 7",$B$2="APM Level 8",$B$2="Technical Services Level 7"),B35&lt;&gt;""),INDEX('Points Lookup'!$H:$H,MATCH($AA35,'Points Lookup'!$AN:$AN,0)),IF($B$2="R&amp;T Level 5 - Clinical Lecturers (Vet School)",SUMIF('Points Lookup'!$V:$V,$B35,'Points Lookup'!$Y:$Y),IF($B$2="R&amp;T Level 6 - Clinical Associate Professors and Clinical Readers (Vet School)",SUMIF('Points Lookup'!$AC:$AC,$B35,'Points Lookup'!$AF:$AF),IFERROR(INDEX('Points Lookup'!$B:$B,MATCH($AA35,'Points Lookup'!$AN:$AN,0)),""))))))))</f>
        <v/>
      </c>
      <c r="D35" s="82" t="str">
        <f ca="1">IF(B35="","",IF(AND($B$3="Y",B35&lt;7),VLOOKUP($B35,Thresholds_Rates!$I$15:$J$18,2,FALSE),"-"))</f>
        <v/>
      </c>
      <c r="E35" s="81"/>
      <c r="F35" s="81" t="str">
        <f ca="1">IF($B35="","",IF(AND($B$2="Salary Points 3 to 57",B35&lt;Thresholds_Rates!$C$16),"-",IF(SUMIF(Grades!$A:$A,$B$2,Grades!$BO:$BO)=0,"-",IF(AND($B$2="Salary Points 3 to 57",B35&gt;=Thresholds_Rates!$C$16),$C35*Thresholds_Rates!$F$15,IF(AND(OR($B$2="New Consultant Contract"),$B35&lt;&gt;""),$C35*Thresholds_Rates!$F$15,IF(AND(OR($B$2="Clinical Lecturer / Medical Research Fellow",$B$2="Clinical Consultant - Old Contract (GP)"),$B35&lt;&gt;""),$C35*Thresholds_Rates!$F$15,IF(OR($B$2="APM Level 7",$B$2="R&amp;T Level 7"),$C35*Thresholds_Rates!$F$15,IF(SUMIF(Grades!$A:$A,$B$2,Grades!$BO:$BO)=1,$C35*Thresholds_Rates!$F$15,""))))))))</f>
        <v/>
      </c>
      <c r="G35" s="81" t="str">
        <f ca="1">IF(B35="","",IF($B$2="Salary Points 3 to 57","-",IF(SUMIF(Grades!$A:$A,$B$2,Grades!$BP:$BP)=0,"-",IF(AND(OR($B$2="New Consultant Contract"),$B35&lt;&gt;""),$C35*Thresholds_Rates!$F$16,IF(AND(OR($B$2="Clinical Lecturer / Medical Research Fellow",$B$2="Clinical Consultant - Old Contract (GP)"),$B35&lt;&gt;""),$C35*Thresholds_Rates!$F$16,IF(AND(OR($B$2="APM Level 7",$B$2="R&amp;T Level 7"),F35&lt;&gt;""),$C35*Thresholds_Rates!$F$16,IF(SUMIF(Grades!$A:$A,$B$2,Grades!$BP:$BP)=1,$C35*Thresholds_Rates!$F$16,"")))))))</f>
        <v/>
      </c>
      <c r="H35" s="81" t="str">
        <f ca="1">IF($B$2="Apprenticeship","-",IF(B35="","",IF(SUMIF(Grades!$A:$A,$B$2,Grades!$BQ:$BQ)=0,"-",IF(AND($B$2="Salary Points 3 to 57",B35&gt;Thresholds_Rates!$C$17),"-",IF(AND($B$2="Salary Points 3 to 57",B35&lt;=Thresholds_Rates!$C$17),$C35*Thresholds_Rates!$F$17,IF(AND(OR($B$2="New Consultant Contract"),$B35&lt;&gt;""),$C35*Thresholds_Rates!$F$17,IF(AND(OR($B$2="Clinical Lecturer / Medical Research Fellow",$B$2="Clinical Consultant - Old Contract (GP)"),$B35&lt;&gt;""),$C35*Thresholds_Rates!$F$17,IF(AND(OR($B$2="APM Level 7",$B$2="R&amp;T Level 7"),G35&lt;&gt;""),$C35*Thresholds_Rates!$F$17,IF(SUMIF(Grades!$A:$A,$B$2,Grades!$BQ:$BQ)=1,$C35*Thresholds_Rates!$F$17,"")))))))))</f>
        <v/>
      </c>
      <c r="I35" s="81" t="str">
        <f ca="1">IF($B35="","",ROUND(($C35-(Thresholds_Rates!$C$5*12))*Thresholds_Rates!$C$10,0))</f>
        <v/>
      </c>
      <c r="J35" s="81" t="str">
        <f ca="1">IF(B35="","",(C35*Thresholds_Rates!$C$12))</f>
        <v/>
      </c>
      <c r="K35" s="81" t="str">
        <f ca="1">IF(B35="","",IF(AND($B$2="Salary Points 3 to 57",B35&gt;Thresholds_Rates!$C$17),"-",IF(SUMIF(Grades!$A:$A,$B$2,Grades!$BR:$BR)=0,"-",IF(AND($B$2="Salary Points 3 to 57",B35&lt;=Thresholds_Rates!$C$17),$C35*Thresholds_Rates!$F$18,IF(AND(OR($B$2="New Consultant Contract"),$B35&lt;&gt;""),$C35*Thresholds_Rates!$F$18,IF(AND(OR($B$2="Clinical Lecturer / Medical Research Fellow",$B$2="Clinical Consultant - Old Contract (GP)"),$B35&lt;&gt;""),$C35*Thresholds_Rates!$F$18,IF(AND(OR($B$2="APM Level 7",$B$2="R&amp;T Level 7"),I35&lt;&gt;""),$C35*Thresholds_Rates!$F$18,IF(SUMIF(Grades!$A:$A,$B$2,Grades!$BQ:$BQ)=1,$C35*Thresholds_Rates!$F$18,""))))))))</f>
        <v/>
      </c>
      <c r="L35" s="68"/>
      <c r="M35" s="81" t="str">
        <f t="shared" ca="1" si="0"/>
        <v/>
      </c>
      <c r="N35" s="81" t="str">
        <f t="shared" ca="1" si="1"/>
        <v/>
      </c>
      <c r="O35" s="81" t="str">
        <f t="shared" ca="1" si="2"/>
        <v/>
      </c>
      <c r="P35" s="81" t="str">
        <f t="shared" ca="1" si="3"/>
        <v/>
      </c>
      <c r="Q35" s="81" t="str">
        <f t="shared" ca="1" si="4"/>
        <v/>
      </c>
      <c r="S35" s="83" t="str">
        <f ca="1">IF(B35="","",IF($B$2="R&amp;T Level 5 - Clinical Lecturers (Vet School)",SUMIF('Points Lookup'!$V:$V,$B35,'Points Lookup'!$W:$W),IF($B$2="R&amp;T Level 6 - Clinical Associate Professors and Clinical Readers (Vet School)",SUMIF('Points Lookup'!$AC:$AC,$B35,'Points Lookup'!$AD:$AD),"")))</f>
        <v/>
      </c>
      <c r="T35" s="84" t="str">
        <f ca="1">IF(B35="","",IF($B$2="R&amp;T Level 5 - Clinical Lecturers (Vet School)",$C35-SUMIF('Points Lookup'!$V:$V,$B35,'Points Lookup'!$X:$X),IF($B$2="R&amp;T Level 6 - Clinical Associate Professors and Clinical Readers (Vet School)",$C35-SUMIF('Points Lookup'!$AC:$AC,$B35,'Points Lookup'!$AE:$AE),"")))</f>
        <v/>
      </c>
      <c r="U35" s="83" t="str">
        <f ca="1">IF(B35="","",IF($B$2="R&amp;T Level 5 - Clinical Lecturers (Vet School)",SUMIF('Points Lookup'!$V:$V,$B35,'Points Lookup'!$Z:$Z),IF($B$2="R&amp;T Level 6 - Clinical Associate Professors and Clinical Readers (Vet School)",SUMIF('Points Lookup'!$AC:$AC,$B35,'Points Lookup'!$AG:$AG),"")))</f>
        <v/>
      </c>
      <c r="V35" s="84" t="str">
        <f t="shared" ca="1" si="5"/>
        <v/>
      </c>
      <c r="AA35" s="39">
        <v>29</v>
      </c>
    </row>
    <row r="36" spans="2:27" x14ac:dyDescent="0.25">
      <c r="B36" s="68" t="str">
        <f ca="1">IFERROR(INDEX('Points Lookup'!$A:$A,MATCH($AA36,'Points Lookup'!$AN:$AN,0)),"")</f>
        <v/>
      </c>
      <c r="C36" s="81" t="str">
        <f ca="1">IF(B36="","",IF($B$2="Apprenticeship",SUMIF('Points Lookup'!$AJ:$AJ,B36,'Points Lookup'!$AL:$AL),IF(AND(OR($B$2="New Consultant Contract"),$B36&lt;&gt;""),INDEX('Points Lookup'!$T:$T,MATCH($B36,'Points Lookup'!$S:$S,0)),IF(AND(OR($B$2="Clinical Lecturer / Medical Research Fellow",$B$2="Clinical Consultant - Old Contract (GP)"),$B36&lt;&gt;""),INDEX('Points Lookup'!$Q:$Q,MATCH($B36,'Points Lookup'!$P:$P,0)),IF(AND(OR($B$2="APM Level 7",$B$2="R&amp;T Level 7",$B$2="APM Level 8",$B$2="Technical Services Level 7"),B36&lt;&gt;""),INDEX('Points Lookup'!$H:$H,MATCH($AA36,'Points Lookup'!$AN:$AN,0)),IF($B$2="R&amp;T Level 5 - Clinical Lecturers (Vet School)",SUMIF('Points Lookup'!$V:$V,$B36,'Points Lookup'!$Y:$Y),IF($B$2="R&amp;T Level 6 - Clinical Associate Professors and Clinical Readers (Vet School)",SUMIF('Points Lookup'!$AC:$AC,$B36,'Points Lookup'!$AF:$AF),IFERROR(INDEX('Points Lookup'!$B:$B,MATCH($AA36,'Points Lookup'!$AN:$AN,0)),""))))))))</f>
        <v/>
      </c>
      <c r="D36" s="82" t="str">
        <f ca="1">IF(B36="","",IF(AND($B$3="Y",B36&lt;7),VLOOKUP($B36,Thresholds_Rates!$I$15:$J$18,2,FALSE),"-"))</f>
        <v/>
      </c>
      <c r="E36" s="81"/>
      <c r="F36" s="81" t="str">
        <f ca="1">IF($B36="","",IF(AND($B$2="Salary Points 3 to 57",B36&lt;Thresholds_Rates!$C$16),"-",IF(SUMIF(Grades!$A:$A,$B$2,Grades!$BO:$BO)=0,"-",IF(AND($B$2="Salary Points 3 to 57",B36&gt;=Thresholds_Rates!$C$16),$C36*Thresholds_Rates!$F$15,IF(AND(OR($B$2="New Consultant Contract"),$B36&lt;&gt;""),$C36*Thresholds_Rates!$F$15,IF(AND(OR($B$2="Clinical Lecturer / Medical Research Fellow",$B$2="Clinical Consultant - Old Contract (GP)"),$B36&lt;&gt;""),$C36*Thresholds_Rates!$F$15,IF(OR($B$2="APM Level 7",$B$2="R&amp;T Level 7"),$C36*Thresholds_Rates!$F$15,IF(SUMIF(Grades!$A:$A,$B$2,Grades!$BO:$BO)=1,$C36*Thresholds_Rates!$F$15,""))))))))</f>
        <v/>
      </c>
      <c r="G36" s="81" t="str">
        <f ca="1">IF(B36="","",IF($B$2="Salary Points 3 to 57","-",IF(SUMIF(Grades!$A:$A,$B$2,Grades!$BP:$BP)=0,"-",IF(AND(OR($B$2="New Consultant Contract"),$B36&lt;&gt;""),$C36*Thresholds_Rates!$F$16,IF(AND(OR($B$2="Clinical Lecturer / Medical Research Fellow",$B$2="Clinical Consultant - Old Contract (GP)"),$B36&lt;&gt;""),$C36*Thresholds_Rates!$F$16,IF(AND(OR($B$2="APM Level 7",$B$2="R&amp;T Level 7"),F36&lt;&gt;""),$C36*Thresholds_Rates!$F$16,IF(SUMIF(Grades!$A:$A,$B$2,Grades!$BP:$BP)=1,$C36*Thresholds_Rates!$F$16,"")))))))</f>
        <v/>
      </c>
      <c r="H36" s="81" t="str">
        <f ca="1">IF($B$2="Apprenticeship","-",IF(B36="","",IF(SUMIF(Grades!$A:$A,$B$2,Grades!$BQ:$BQ)=0,"-",IF(AND($B$2="Salary Points 3 to 57",B36&gt;Thresholds_Rates!$C$17),"-",IF(AND($B$2="Salary Points 3 to 57",B36&lt;=Thresholds_Rates!$C$17),$C36*Thresholds_Rates!$F$17,IF(AND(OR($B$2="New Consultant Contract"),$B36&lt;&gt;""),$C36*Thresholds_Rates!$F$17,IF(AND(OR($B$2="Clinical Lecturer / Medical Research Fellow",$B$2="Clinical Consultant - Old Contract (GP)"),$B36&lt;&gt;""),$C36*Thresholds_Rates!$F$17,IF(AND(OR($B$2="APM Level 7",$B$2="R&amp;T Level 7"),G36&lt;&gt;""),$C36*Thresholds_Rates!$F$17,IF(SUMIF(Grades!$A:$A,$B$2,Grades!$BQ:$BQ)=1,$C36*Thresholds_Rates!$F$17,"")))))))))</f>
        <v/>
      </c>
      <c r="I36" s="81" t="str">
        <f ca="1">IF($B36="","",ROUND(($C36-(Thresholds_Rates!$C$5*12))*Thresholds_Rates!$C$10,0))</f>
        <v/>
      </c>
      <c r="J36" s="81" t="str">
        <f ca="1">IF(B36="","",(C36*Thresholds_Rates!$C$12))</f>
        <v/>
      </c>
      <c r="K36" s="81" t="str">
        <f ca="1">IF(B36="","",IF(AND($B$2="Salary Points 3 to 57",B36&gt;Thresholds_Rates!$C$17),"-",IF(SUMIF(Grades!$A:$A,$B$2,Grades!$BR:$BR)=0,"-",IF(AND($B$2="Salary Points 3 to 57",B36&lt;=Thresholds_Rates!$C$17),$C36*Thresholds_Rates!$F$18,IF(AND(OR($B$2="New Consultant Contract"),$B36&lt;&gt;""),$C36*Thresholds_Rates!$F$18,IF(AND(OR($B$2="Clinical Lecturer / Medical Research Fellow",$B$2="Clinical Consultant - Old Contract (GP)"),$B36&lt;&gt;""),$C36*Thresholds_Rates!$F$18,IF(AND(OR($B$2="APM Level 7",$B$2="R&amp;T Level 7"),I36&lt;&gt;""),$C36*Thresholds_Rates!$F$18,IF(SUMIF(Grades!$A:$A,$B$2,Grades!$BQ:$BQ)=1,$C36*Thresholds_Rates!$F$18,""))))))))</f>
        <v/>
      </c>
      <c r="L36" s="68"/>
      <c r="M36" s="81" t="str">
        <f t="shared" ca="1" si="0"/>
        <v/>
      </c>
      <c r="N36" s="81" t="str">
        <f t="shared" ca="1" si="1"/>
        <v/>
      </c>
      <c r="O36" s="81" t="str">
        <f t="shared" ca="1" si="2"/>
        <v/>
      </c>
      <c r="P36" s="81" t="str">
        <f t="shared" ca="1" si="3"/>
        <v/>
      </c>
      <c r="Q36" s="81" t="str">
        <f t="shared" ca="1" si="4"/>
        <v/>
      </c>
      <c r="S36" s="83" t="str">
        <f ca="1">IF(B36="","",IF($B$2="R&amp;T Level 5 - Clinical Lecturers (Vet School)",SUMIF('Points Lookup'!$V:$V,$B36,'Points Lookup'!$W:$W),IF($B$2="R&amp;T Level 6 - Clinical Associate Professors and Clinical Readers (Vet School)",SUMIF('Points Lookup'!$AC:$AC,$B36,'Points Lookup'!$AD:$AD),"")))</f>
        <v/>
      </c>
      <c r="T36" s="84" t="str">
        <f ca="1">IF(B36="","",IF($B$2="R&amp;T Level 5 - Clinical Lecturers (Vet School)",$C36-SUMIF('Points Lookup'!$V:$V,$B36,'Points Lookup'!$X:$X),IF($B$2="R&amp;T Level 6 - Clinical Associate Professors and Clinical Readers (Vet School)",$C36-SUMIF('Points Lookup'!$AC:$AC,$B36,'Points Lookup'!$AE:$AE),"")))</f>
        <v/>
      </c>
      <c r="U36" s="83" t="str">
        <f ca="1">IF(B36="","",IF($B$2="R&amp;T Level 5 - Clinical Lecturers (Vet School)",SUMIF('Points Lookup'!$V:$V,$B36,'Points Lookup'!$Z:$Z),IF($B$2="R&amp;T Level 6 - Clinical Associate Professors and Clinical Readers (Vet School)",SUMIF('Points Lookup'!$AC:$AC,$B36,'Points Lookup'!$AG:$AG),"")))</f>
        <v/>
      </c>
      <c r="V36" s="84" t="str">
        <f t="shared" ca="1" si="5"/>
        <v/>
      </c>
      <c r="AA36" s="39">
        <v>30</v>
      </c>
    </row>
    <row r="37" spans="2:27" x14ac:dyDescent="0.25">
      <c r="B37" s="68" t="str">
        <f ca="1">IFERROR(INDEX('Points Lookup'!$A:$A,MATCH($AA37,'Points Lookup'!$AN:$AN,0)),"")</f>
        <v/>
      </c>
      <c r="C37" s="81" t="str">
        <f ca="1">IF(B37="","",IF($B$2="Apprenticeship",SUMIF('Points Lookup'!$AJ:$AJ,B37,'Points Lookup'!$AL:$AL),IF(AND(OR($B$2="New Consultant Contract"),$B37&lt;&gt;""),INDEX('Points Lookup'!$T:$T,MATCH($B37,'Points Lookup'!$S:$S,0)),IF(AND(OR($B$2="Clinical Lecturer / Medical Research Fellow",$B$2="Clinical Consultant - Old Contract (GP)"),$B37&lt;&gt;""),INDEX('Points Lookup'!$Q:$Q,MATCH($B37,'Points Lookup'!$P:$P,0)),IF(AND(OR($B$2="APM Level 7",$B$2="R&amp;T Level 7",$B$2="APM Level 8",$B$2="Technical Services Level 7"),B37&lt;&gt;""),INDEX('Points Lookup'!$H:$H,MATCH($AA37,'Points Lookup'!$AN:$AN,0)),IF($B$2="R&amp;T Level 5 - Clinical Lecturers (Vet School)",SUMIF('Points Lookup'!$V:$V,$B37,'Points Lookup'!$Y:$Y),IF($B$2="R&amp;T Level 6 - Clinical Associate Professors and Clinical Readers (Vet School)",SUMIF('Points Lookup'!$AC:$AC,$B37,'Points Lookup'!$AF:$AF),IFERROR(INDEX('Points Lookup'!$B:$B,MATCH($AA37,'Points Lookup'!$AN:$AN,0)),""))))))))</f>
        <v/>
      </c>
      <c r="D37" s="82" t="str">
        <f ca="1">IF(B37="","",IF(AND($B$3="Y",B37&lt;7),VLOOKUP($B37,Thresholds_Rates!$I$15:$J$18,2,FALSE),"-"))</f>
        <v/>
      </c>
      <c r="E37" s="81"/>
      <c r="F37" s="81" t="str">
        <f ca="1">IF($B37="","",IF(AND($B$2="Salary Points 3 to 57",B37&lt;Thresholds_Rates!$C$16),"-",IF(SUMIF(Grades!$A:$A,$B$2,Grades!$BO:$BO)=0,"-",IF(AND($B$2="Salary Points 3 to 57",B37&gt;=Thresholds_Rates!$C$16),$C37*Thresholds_Rates!$F$15,IF(AND(OR($B$2="New Consultant Contract"),$B37&lt;&gt;""),$C37*Thresholds_Rates!$F$15,IF(AND(OR($B$2="Clinical Lecturer / Medical Research Fellow",$B$2="Clinical Consultant - Old Contract (GP)"),$B37&lt;&gt;""),$C37*Thresholds_Rates!$F$15,IF(OR($B$2="APM Level 7",$B$2="R&amp;T Level 7"),$C37*Thresholds_Rates!$F$15,IF(SUMIF(Grades!$A:$A,$B$2,Grades!$BO:$BO)=1,$C37*Thresholds_Rates!$F$15,""))))))))</f>
        <v/>
      </c>
      <c r="G37" s="81" t="str">
        <f ca="1">IF(B37="","",IF($B$2="Salary Points 3 to 57","-",IF(SUMIF(Grades!$A:$A,$B$2,Grades!$BP:$BP)=0,"-",IF(AND(OR($B$2="New Consultant Contract"),$B37&lt;&gt;""),$C37*Thresholds_Rates!$F$16,IF(AND(OR($B$2="Clinical Lecturer / Medical Research Fellow",$B$2="Clinical Consultant - Old Contract (GP)"),$B37&lt;&gt;""),$C37*Thresholds_Rates!$F$16,IF(AND(OR($B$2="APM Level 7",$B$2="R&amp;T Level 7"),F37&lt;&gt;""),$C37*Thresholds_Rates!$F$16,IF(SUMIF(Grades!$A:$A,$B$2,Grades!$BP:$BP)=1,$C37*Thresholds_Rates!$F$16,"")))))))</f>
        <v/>
      </c>
      <c r="H37" s="81" t="str">
        <f ca="1">IF($B$2="Apprenticeship","-",IF(B37="","",IF(SUMIF(Grades!$A:$A,$B$2,Grades!$BQ:$BQ)=0,"-",IF(AND($B$2="Salary Points 3 to 57",B37&gt;Thresholds_Rates!$C$17),"-",IF(AND($B$2="Salary Points 3 to 57",B37&lt;=Thresholds_Rates!$C$17),$C37*Thresholds_Rates!$F$17,IF(AND(OR($B$2="New Consultant Contract"),$B37&lt;&gt;""),$C37*Thresholds_Rates!$F$17,IF(AND(OR($B$2="Clinical Lecturer / Medical Research Fellow",$B$2="Clinical Consultant - Old Contract (GP)"),$B37&lt;&gt;""),$C37*Thresholds_Rates!$F$17,IF(AND(OR($B$2="APM Level 7",$B$2="R&amp;T Level 7"),G37&lt;&gt;""),$C37*Thresholds_Rates!$F$17,IF(SUMIF(Grades!$A:$A,$B$2,Grades!$BQ:$BQ)=1,$C37*Thresholds_Rates!$F$17,"")))))))))</f>
        <v/>
      </c>
      <c r="I37" s="81" t="str">
        <f ca="1">IF($B37="","",ROUND(($C37-(Thresholds_Rates!$C$5*12))*Thresholds_Rates!$C$10,0))</f>
        <v/>
      </c>
      <c r="J37" s="81" t="str">
        <f ca="1">IF(B37="","",(C37*Thresholds_Rates!$C$12))</f>
        <v/>
      </c>
      <c r="K37" s="81" t="str">
        <f ca="1">IF(B37="","",IF(AND($B$2="Salary Points 3 to 57",B37&gt;Thresholds_Rates!$C$17),"-",IF(SUMIF(Grades!$A:$A,$B$2,Grades!$BR:$BR)=0,"-",IF(AND($B$2="Salary Points 3 to 57",B37&lt;=Thresholds_Rates!$C$17),$C37*Thresholds_Rates!$F$18,IF(AND(OR($B$2="New Consultant Contract"),$B37&lt;&gt;""),$C37*Thresholds_Rates!$F$18,IF(AND(OR($B$2="Clinical Lecturer / Medical Research Fellow",$B$2="Clinical Consultant - Old Contract (GP)"),$B37&lt;&gt;""),$C37*Thresholds_Rates!$F$18,IF(AND(OR($B$2="APM Level 7",$B$2="R&amp;T Level 7"),I37&lt;&gt;""),$C37*Thresholds_Rates!$F$18,IF(SUMIF(Grades!$A:$A,$B$2,Grades!$BQ:$BQ)=1,$C37*Thresholds_Rates!$F$18,""))))))))</f>
        <v/>
      </c>
      <c r="L37" s="68"/>
      <c r="M37" s="81" t="str">
        <f t="shared" ca="1" si="0"/>
        <v/>
      </c>
      <c r="N37" s="81" t="str">
        <f t="shared" ca="1" si="1"/>
        <v/>
      </c>
      <c r="O37" s="81" t="str">
        <f t="shared" ca="1" si="2"/>
        <v/>
      </c>
      <c r="P37" s="81" t="str">
        <f t="shared" ca="1" si="3"/>
        <v/>
      </c>
      <c r="Q37" s="81" t="str">
        <f t="shared" ca="1" si="4"/>
        <v/>
      </c>
      <c r="S37" s="83" t="str">
        <f ca="1">IF(B37="","",IF($B$2="R&amp;T Level 5 - Clinical Lecturers (Vet School)",SUMIF('Points Lookup'!$V:$V,$B37,'Points Lookup'!$W:$W),IF($B$2="R&amp;T Level 6 - Clinical Associate Professors and Clinical Readers (Vet School)",SUMIF('Points Lookup'!$AC:$AC,$B37,'Points Lookup'!$AD:$AD),"")))</f>
        <v/>
      </c>
      <c r="T37" s="84" t="str">
        <f ca="1">IF(B37="","",IF($B$2="R&amp;T Level 5 - Clinical Lecturers (Vet School)",$C37-SUMIF('Points Lookup'!$V:$V,$B37,'Points Lookup'!$X:$X),IF($B$2="R&amp;T Level 6 - Clinical Associate Professors and Clinical Readers (Vet School)",$C37-SUMIF('Points Lookup'!$AC:$AC,$B37,'Points Lookup'!$AE:$AE),"")))</f>
        <v/>
      </c>
      <c r="U37" s="83" t="str">
        <f ca="1">IF(B37="","",IF($B$2="R&amp;T Level 5 - Clinical Lecturers (Vet School)",SUMIF('Points Lookup'!$V:$V,$B37,'Points Lookup'!$Z:$Z),IF($B$2="R&amp;T Level 6 - Clinical Associate Professors and Clinical Readers (Vet School)",SUMIF('Points Lookup'!$AC:$AC,$B37,'Points Lookup'!$AG:$AG),"")))</f>
        <v/>
      </c>
      <c r="V37" s="84" t="str">
        <f t="shared" ca="1" si="5"/>
        <v/>
      </c>
      <c r="AA37" s="39">
        <v>31</v>
      </c>
    </row>
    <row r="38" spans="2:27" x14ac:dyDescent="0.25">
      <c r="B38" s="68" t="str">
        <f ca="1">IFERROR(INDEX('Points Lookup'!$A:$A,MATCH($AA38,'Points Lookup'!$AN:$AN,0)),"")</f>
        <v/>
      </c>
      <c r="C38" s="81" t="str">
        <f ca="1">IF(B38="","",IF($B$2="Apprenticeship",SUMIF('Points Lookup'!$AJ:$AJ,B38,'Points Lookup'!$AL:$AL),IF(AND(OR($B$2="New Consultant Contract"),$B38&lt;&gt;""),INDEX('Points Lookup'!$T:$T,MATCH($B38,'Points Lookup'!$S:$S,0)),IF(AND(OR($B$2="Clinical Lecturer / Medical Research Fellow",$B$2="Clinical Consultant - Old Contract (GP)"),$B38&lt;&gt;""),INDEX('Points Lookup'!$Q:$Q,MATCH($B38,'Points Lookup'!$P:$P,0)),IF(AND(OR($B$2="APM Level 7",$B$2="R&amp;T Level 7",$B$2="APM Level 8",$B$2="Technical Services Level 7"),B38&lt;&gt;""),INDEX('Points Lookup'!$H:$H,MATCH($AA38,'Points Lookup'!$AN:$AN,0)),IF($B$2="R&amp;T Level 5 - Clinical Lecturers (Vet School)",SUMIF('Points Lookup'!$V:$V,$B38,'Points Lookup'!$Y:$Y),IF($B$2="R&amp;T Level 6 - Clinical Associate Professors and Clinical Readers (Vet School)",SUMIF('Points Lookup'!$AC:$AC,$B38,'Points Lookup'!$AF:$AF),IFERROR(INDEX('Points Lookup'!$B:$B,MATCH($AA38,'Points Lookup'!$AN:$AN,0)),""))))))))</f>
        <v/>
      </c>
      <c r="D38" s="82" t="str">
        <f ca="1">IF(B38="","",IF(AND($B$3="Y",B38&lt;7),VLOOKUP($B38,Thresholds_Rates!$I$15:$J$18,2,FALSE),"-"))</f>
        <v/>
      </c>
      <c r="E38" s="81"/>
      <c r="F38" s="81" t="str">
        <f ca="1">IF($B38="","",IF(AND($B$2="Salary Points 3 to 57",B38&lt;Thresholds_Rates!$C$16),"-",IF(SUMIF(Grades!$A:$A,$B$2,Grades!$BO:$BO)=0,"-",IF(AND($B$2="Salary Points 3 to 57",B38&gt;=Thresholds_Rates!$C$16),$C38*Thresholds_Rates!$F$15,IF(AND(OR($B$2="New Consultant Contract"),$B38&lt;&gt;""),$C38*Thresholds_Rates!$F$15,IF(AND(OR($B$2="Clinical Lecturer / Medical Research Fellow",$B$2="Clinical Consultant - Old Contract (GP)"),$B38&lt;&gt;""),$C38*Thresholds_Rates!$F$15,IF(OR($B$2="APM Level 7",$B$2="R&amp;T Level 7"),$C38*Thresholds_Rates!$F$15,IF(SUMIF(Grades!$A:$A,$B$2,Grades!$BO:$BO)=1,$C38*Thresholds_Rates!$F$15,""))))))))</f>
        <v/>
      </c>
      <c r="G38" s="81" t="str">
        <f ca="1">IF(B38="","",IF($B$2="Salary Points 3 to 57","-",IF(SUMIF(Grades!$A:$A,$B$2,Grades!$BP:$BP)=0,"-",IF(AND(OR($B$2="New Consultant Contract"),$B38&lt;&gt;""),$C38*Thresholds_Rates!$F$16,IF(AND(OR($B$2="Clinical Lecturer / Medical Research Fellow",$B$2="Clinical Consultant - Old Contract (GP)"),$B38&lt;&gt;""),$C38*Thresholds_Rates!$F$16,IF(AND(OR($B$2="APM Level 7",$B$2="R&amp;T Level 7"),F38&lt;&gt;""),$C38*Thresholds_Rates!$F$16,IF(SUMIF(Grades!$A:$A,$B$2,Grades!$BP:$BP)=1,$C38*Thresholds_Rates!$F$16,"")))))))</f>
        <v/>
      </c>
      <c r="H38" s="81" t="str">
        <f ca="1">IF($B$2="Apprenticeship","-",IF(B38="","",IF(SUMIF(Grades!$A:$A,$B$2,Grades!$BQ:$BQ)=0,"-",IF(AND($B$2="Salary Points 3 to 57",B38&gt;Thresholds_Rates!$C$17),"-",IF(AND($B$2="Salary Points 3 to 57",B38&lt;=Thresholds_Rates!$C$17),$C38*Thresholds_Rates!$F$17,IF(AND(OR($B$2="New Consultant Contract"),$B38&lt;&gt;""),$C38*Thresholds_Rates!$F$17,IF(AND(OR($B$2="Clinical Lecturer / Medical Research Fellow",$B$2="Clinical Consultant - Old Contract (GP)"),$B38&lt;&gt;""),$C38*Thresholds_Rates!$F$17,IF(AND(OR($B$2="APM Level 7",$B$2="R&amp;T Level 7"),G38&lt;&gt;""),$C38*Thresholds_Rates!$F$17,IF(SUMIF(Grades!$A:$A,$B$2,Grades!$BQ:$BQ)=1,$C38*Thresholds_Rates!$F$17,"")))))))))</f>
        <v/>
      </c>
      <c r="I38" s="81" t="str">
        <f ca="1">IF($B38="","",ROUND(($C38-(Thresholds_Rates!$C$5*12))*Thresholds_Rates!$C$10,0))</f>
        <v/>
      </c>
      <c r="J38" s="81" t="str">
        <f ca="1">IF(B38="","",(C38*Thresholds_Rates!$C$12))</f>
        <v/>
      </c>
      <c r="K38" s="81" t="str">
        <f ca="1">IF(B38="","",IF(AND($B$2="Salary Points 3 to 57",B38&gt;Thresholds_Rates!$C$17),"-",IF(SUMIF(Grades!$A:$A,$B$2,Grades!$BR:$BR)=0,"-",IF(AND($B$2="Salary Points 3 to 57",B38&lt;=Thresholds_Rates!$C$17),$C38*Thresholds_Rates!$F$18,IF(AND(OR($B$2="New Consultant Contract"),$B38&lt;&gt;""),$C38*Thresholds_Rates!$F$18,IF(AND(OR($B$2="Clinical Lecturer / Medical Research Fellow",$B$2="Clinical Consultant - Old Contract (GP)"),$B38&lt;&gt;""),$C38*Thresholds_Rates!$F$18,IF(AND(OR($B$2="APM Level 7",$B$2="R&amp;T Level 7"),I38&lt;&gt;""),$C38*Thresholds_Rates!$F$18,IF(SUMIF(Grades!$A:$A,$B$2,Grades!$BQ:$BQ)=1,$C38*Thresholds_Rates!$F$18,""))))))))</f>
        <v/>
      </c>
      <c r="L38" s="68"/>
      <c r="M38" s="81" t="str">
        <f t="shared" ca="1" si="0"/>
        <v/>
      </c>
      <c r="N38" s="81" t="str">
        <f t="shared" ca="1" si="1"/>
        <v/>
      </c>
      <c r="O38" s="81" t="str">
        <f t="shared" ca="1" si="2"/>
        <v/>
      </c>
      <c r="P38" s="81" t="str">
        <f t="shared" ca="1" si="3"/>
        <v/>
      </c>
      <c r="Q38" s="81" t="str">
        <f t="shared" ca="1" si="4"/>
        <v/>
      </c>
      <c r="S38" s="83" t="str">
        <f ca="1">IF(B38="","",IF($B$2="R&amp;T Level 5 - Clinical Lecturers (Vet School)",SUMIF('Points Lookup'!$V:$V,$B38,'Points Lookup'!$W:$W),IF($B$2="R&amp;T Level 6 - Clinical Associate Professors and Clinical Readers (Vet School)",SUMIF('Points Lookup'!$AC:$AC,$B38,'Points Lookup'!$AD:$AD),"")))</f>
        <v/>
      </c>
      <c r="T38" s="84" t="str">
        <f ca="1">IF(B38="","",IF($B$2="R&amp;T Level 5 - Clinical Lecturers (Vet School)",$C38-SUMIF('Points Lookup'!$V:$V,$B38,'Points Lookup'!$X:$X),IF($B$2="R&amp;T Level 6 - Clinical Associate Professors and Clinical Readers (Vet School)",$C38-SUMIF('Points Lookup'!$AC:$AC,$B38,'Points Lookup'!$AE:$AE),"")))</f>
        <v/>
      </c>
      <c r="U38" s="83" t="str">
        <f ca="1">IF(B38="","",IF($B$2="R&amp;T Level 5 - Clinical Lecturers (Vet School)",SUMIF('Points Lookup'!$V:$V,$B38,'Points Lookup'!$Z:$Z),IF($B$2="R&amp;T Level 6 - Clinical Associate Professors and Clinical Readers (Vet School)",SUMIF('Points Lookup'!$AC:$AC,$B38,'Points Lookup'!$AG:$AG),"")))</f>
        <v/>
      </c>
      <c r="V38" s="84" t="str">
        <f t="shared" ca="1" si="5"/>
        <v/>
      </c>
      <c r="AA38" s="39">
        <v>32</v>
      </c>
    </row>
    <row r="39" spans="2:27" x14ac:dyDescent="0.25">
      <c r="B39" s="68" t="str">
        <f ca="1">IFERROR(INDEX('Points Lookup'!$A:$A,MATCH($AA39,'Points Lookup'!$AN:$AN,0)),"")</f>
        <v/>
      </c>
      <c r="C39" s="81" t="str">
        <f ca="1">IF(B39="","",IF($B$2="Apprenticeship",SUMIF('Points Lookup'!$AJ:$AJ,B39,'Points Lookup'!$AL:$AL),IF(AND(OR($B$2="New Consultant Contract"),$B39&lt;&gt;""),INDEX('Points Lookup'!$T:$T,MATCH($B39,'Points Lookup'!$S:$S,0)),IF(AND(OR($B$2="Clinical Lecturer / Medical Research Fellow",$B$2="Clinical Consultant - Old Contract (GP)"),$B39&lt;&gt;""),INDEX('Points Lookup'!$Q:$Q,MATCH($B39,'Points Lookup'!$P:$P,0)),IF(AND(OR($B$2="APM Level 7",$B$2="R&amp;T Level 7",$B$2="APM Level 8",$B$2="Technical Services Level 7"),B39&lt;&gt;""),INDEX('Points Lookup'!$H:$H,MATCH($AA39,'Points Lookup'!$AN:$AN,0)),IF($B$2="R&amp;T Level 5 - Clinical Lecturers (Vet School)",SUMIF('Points Lookup'!$V:$V,$B39,'Points Lookup'!$Y:$Y),IF($B$2="R&amp;T Level 6 - Clinical Associate Professors and Clinical Readers (Vet School)",SUMIF('Points Lookup'!$AC:$AC,$B39,'Points Lookup'!$AF:$AF),IFERROR(INDEX('Points Lookup'!$B:$B,MATCH($AA39,'Points Lookup'!$AN:$AN,0)),""))))))))</f>
        <v/>
      </c>
      <c r="D39" s="82" t="str">
        <f ca="1">IF(B39="","",IF(AND($B$3="Y",B39&lt;7),VLOOKUP($B39,Thresholds_Rates!$I$15:$J$18,2,FALSE),"-"))</f>
        <v/>
      </c>
      <c r="E39" s="81"/>
      <c r="F39" s="81" t="str">
        <f ca="1">IF($B39="","",IF(AND($B$2="Salary Points 3 to 57",B39&lt;Thresholds_Rates!$C$16),"-",IF(SUMIF(Grades!$A:$A,$B$2,Grades!$BO:$BO)=0,"-",IF(AND($B$2="Salary Points 3 to 57",B39&gt;=Thresholds_Rates!$C$16),$C39*Thresholds_Rates!$F$15,IF(AND(OR($B$2="New Consultant Contract"),$B39&lt;&gt;""),$C39*Thresholds_Rates!$F$15,IF(AND(OR($B$2="Clinical Lecturer / Medical Research Fellow",$B$2="Clinical Consultant - Old Contract (GP)"),$B39&lt;&gt;""),$C39*Thresholds_Rates!$F$15,IF(OR($B$2="APM Level 7",$B$2="R&amp;T Level 7"),$C39*Thresholds_Rates!$F$15,IF(SUMIF(Grades!$A:$A,$B$2,Grades!$BO:$BO)=1,$C39*Thresholds_Rates!$F$15,""))))))))</f>
        <v/>
      </c>
      <c r="G39" s="81" t="str">
        <f ca="1">IF(B39="","",IF($B$2="Salary Points 3 to 57","-",IF(SUMIF(Grades!$A:$A,$B$2,Grades!$BP:$BP)=0,"-",IF(AND(OR($B$2="New Consultant Contract"),$B39&lt;&gt;""),$C39*Thresholds_Rates!$F$16,IF(AND(OR($B$2="Clinical Lecturer / Medical Research Fellow",$B$2="Clinical Consultant - Old Contract (GP)"),$B39&lt;&gt;""),$C39*Thresholds_Rates!$F$16,IF(AND(OR($B$2="APM Level 7",$B$2="R&amp;T Level 7"),F39&lt;&gt;""),$C39*Thresholds_Rates!$F$16,IF(SUMIF(Grades!$A:$A,$B$2,Grades!$BP:$BP)=1,$C39*Thresholds_Rates!$F$16,"")))))))</f>
        <v/>
      </c>
      <c r="H39" s="81" t="str">
        <f ca="1">IF($B$2="Apprenticeship","-",IF(B39="","",IF(SUMIF(Grades!$A:$A,$B$2,Grades!$BQ:$BQ)=0,"-",IF(AND($B$2="Salary Points 3 to 57",B39&gt;Thresholds_Rates!$C$17),"-",IF(AND($B$2="Salary Points 3 to 57",B39&lt;=Thresholds_Rates!$C$17),$C39*Thresholds_Rates!$F$17,IF(AND(OR($B$2="New Consultant Contract"),$B39&lt;&gt;""),$C39*Thresholds_Rates!$F$17,IF(AND(OR($B$2="Clinical Lecturer / Medical Research Fellow",$B$2="Clinical Consultant - Old Contract (GP)"),$B39&lt;&gt;""),$C39*Thresholds_Rates!$F$17,IF(AND(OR($B$2="APM Level 7",$B$2="R&amp;T Level 7"),G39&lt;&gt;""),$C39*Thresholds_Rates!$F$17,IF(SUMIF(Grades!$A:$A,$B$2,Grades!$BQ:$BQ)=1,$C39*Thresholds_Rates!$F$17,"")))))))))</f>
        <v/>
      </c>
      <c r="I39" s="81" t="str">
        <f ca="1">IF($B39="","",ROUND(($C39-(Thresholds_Rates!$C$5*12))*Thresholds_Rates!$C$10,0))</f>
        <v/>
      </c>
      <c r="J39" s="81" t="str">
        <f ca="1">IF(B39="","",(C39*Thresholds_Rates!$C$12))</f>
        <v/>
      </c>
      <c r="K39" s="81" t="str">
        <f ca="1">IF(B39="","",IF(AND($B$2="Salary Points 3 to 57",B39&gt;Thresholds_Rates!$C$17),"-",IF(SUMIF(Grades!$A:$A,$B$2,Grades!$BR:$BR)=0,"-",IF(AND($B$2="Salary Points 3 to 57",B39&lt;=Thresholds_Rates!$C$17),$C39*Thresholds_Rates!$F$18,IF(AND(OR($B$2="New Consultant Contract"),$B39&lt;&gt;""),$C39*Thresholds_Rates!$F$18,IF(AND(OR($B$2="Clinical Lecturer / Medical Research Fellow",$B$2="Clinical Consultant - Old Contract (GP)"),$B39&lt;&gt;""),$C39*Thresholds_Rates!$F$18,IF(AND(OR($B$2="APM Level 7",$B$2="R&amp;T Level 7"),I39&lt;&gt;""),$C39*Thresholds_Rates!$F$18,IF(SUMIF(Grades!$A:$A,$B$2,Grades!$BQ:$BQ)=1,$C39*Thresholds_Rates!$F$18,""))))))))</f>
        <v/>
      </c>
      <c r="L39" s="68"/>
      <c r="M39" s="81" t="str">
        <f t="shared" ca="1" si="0"/>
        <v/>
      </c>
      <c r="N39" s="81" t="str">
        <f t="shared" ca="1" si="1"/>
        <v/>
      </c>
      <c r="O39" s="81" t="str">
        <f t="shared" ca="1" si="2"/>
        <v/>
      </c>
      <c r="P39" s="81" t="str">
        <f t="shared" ca="1" si="3"/>
        <v/>
      </c>
      <c r="Q39" s="81" t="str">
        <f t="shared" ca="1" si="4"/>
        <v/>
      </c>
      <c r="S39" s="83" t="str">
        <f ca="1">IF(B39="","",IF($B$2="R&amp;T Level 5 - Clinical Lecturers (Vet School)",SUMIF('Points Lookup'!$V:$V,$B39,'Points Lookup'!$W:$W),IF($B$2="R&amp;T Level 6 - Clinical Associate Professors and Clinical Readers (Vet School)",SUMIF('Points Lookup'!$AC:$AC,$B39,'Points Lookup'!$AD:$AD),"")))</f>
        <v/>
      </c>
      <c r="T39" s="84" t="str">
        <f ca="1">IF(B39="","",IF($B$2="R&amp;T Level 5 - Clinical Lecturers (Vet School)",$C39-SUMIF('Points Lookup'!$V:$V,$B39,'Points Lookup'!$X:$X),IF($B$2="R&amp;T Level 6 - Clinical Associate Professors and Clinical Readers (Vet School)",$C39-SUMIF('Points Lookup'!$AC:$AC,$B39,'Points Lookup'!$AE:$AE),"")))</f>
        <v/>
      </c>
      <c r="U39" s="83" t="str">
        <f ca="1">IF(B39="","",IF($B$2="R&amp;T Level 5 - Clinical Lecturers (Vet School)",SUMIF('Points Lookup'!$V:$V,$B39,'Points Lookup'!$Z:$Z),IF($B$2="R&amp;T Level 6 - Clinical Associate Professors and Clinical Readers (Vet School)",SUMIF('Points Lookup'!$AC:$AC,$B39,'Points Lookup'!$AG:$AG),"")))</f>
        <v/>
      </c>
      <c r="V39" s="84" t="str">
        <f t="shared" ca="1" si="5"/>
        <v/>
      </c>
      <c r="AA39" s="39">
        <v>33</v>
      </c>
    </row>
    <row r="40" spans="2:27" x14ac:dyDescent="0.25">
      <c r="B40" s="68" t="str">
        <f ca="1">IFERROR(INDEX('Points Lookup'!$A:$A,MATCH($AA40,'Points Lookup'!$AN:$AN,0)),"")</f>
        <v/>
      </c>
      <c r="C40" s="81" t="str">
        <f ca="1">IF(B40="","",IF($B$2="Apprenticeship",SUMIF('Points Lookup'!$AJ:$AJ,B40,'Points Lookup'!$AL:$AL),IF(AND(OR($B$2="New Consultant Contract"),$B40&lt;&gt;""),INDEX('Points Lookup'!$T:$T,MATCH($B40,'Points Lookup'!$S:$S,0)),IF(AND(OR($B$2="Clinical Lecturer / Medical Research Fellow",$B$2="Clinical Consultant - Old Contract (GP)"),$B40&lt;&gt;""),INDEX('Points Lookup'!$Q:$Q,MATCH($B40,'Points Lookup'!$P:$P,0)),IF(AND(OR($B$2="APM Level 7",$B$2="R&amp;T Level 7",$B$2="APM Level 8",$B$2="Technical Services Level 7"),B40&lt;&gt;""),INDEX('Points Lookup'!$H:$H,MATCH($AA40,'Points Lookup'!$AN:$AN,0)),IF($B$2="R&amp;T Level 5 - Clinical Lecturers (Vet School)",SUMIF('Points Lookup'!$V:$V,$B40,'Points Lookup'!$Y:$Y),IF($B$2="R&amp;T Level 6 - Clinical Associate Professors and Clinical Readers (Vet School)",SUMIF('Points Lookup'!$AC:$AC,$B40,'Points Lookup'!$AF:$AF),IFERROR(INDEX('Points Lookup'!$B:$B,MATCH($AA40,'Points Lookup'!$AN:$AN,0)),""))))))))</f>
        <v/>
      </c>
      <c r="D40" s="82" t="str">
        <f ca="1">IF(B40="","",IF(AND($B$3="Y",B40&lt;7),VLOOKUP($B40,Thresholds_Rates!$I$15:$J$18,2,FALSE),"-"))</f>
        <v/>
      </c>
      <c r="E40" s="81"/>
      <c r="F40" s="81" t="str">
        <f ca="1">IF($B40="","",IF(AND($B$2="Salary Points 3 to 57",B40&lt;Thresholds_Rates!$C$16),"-",IF(SUMIF(Grades!$A:$A,$B$2,Grades!$BO:$BO)=0,"-",IF(AND($B$2="Salary Points 3 to 57",B40&gt;=Thresholds_Rates!$C$16),$C40*Thresholds_Rates!$F$15,IF(AND(OR($B$2="New Consultant Contract"),$B40&lt;&gt;""),$C40*Thresholds_Rates!$F$15,IF(AND(OR($B$2="Clinical Lecturer / Medical Research Fellow",$B$2="Clinical Consultant - Old Contract (GP)"),$B40&lt;&gt;""),$C40*Thresholds_Rates!$F$15,IF(OR($B$2="APM Level 7",$B$2="R&amp;T Level 7"),$C40*Thresholds_Rates!$F$15,IF(SUMIF(Grades!$A:$A,$B$2,Grades!$BO:$BO)=1,$C40*Thresholds_Rates!$F$15,""))))))))</f>
        <v/>
      </c>
      <c r="G40" s="81" t="str">
        <f ca="1">IF(B40="","",IF($B$2="Salary Points 3 to 57","-",IF(SUMIF(Grades!$A:$A,$B$2,Grades!$BP:$BP)=0,"-",IF(AND(OR($B$2="New Consultant Contract"),$B40&lt;&gt;""),$C40*Thresholds_Rates!$F$16,IF(AND(OR($B$2="Clinical Lecturer / Medical Research Fellow",$B$2="Clinical Consultant - Old Contract (GP)"),$B40&lt;&gt;""),$C40*Thresholds_Rates!$F$16,IF(AND(OR($B$2="APM Level 7",$B$2="R&amp;T Level 7"),F40&lt;&gt;""),$C40*Thresholds_Rates!$F$16,IF(SUMIF(Grades!$A:$A,$B$2,Grades!$BP:$BP)=1,$C40*Thresholds_Rates!$F$16,"")))))))</f>
        <v/>
      </c>
      <c r="H40" s="81" t="str">
        <f ca="1">IF($B$2="Apprenticeship","-",IF(B40="","",IF(SUMIF(Grades!$A:$A,$B$2,Grades!$BQ:$BQ)=0,"-",IF(AND($B$2="Salary Points 3 to 57",B40&gt;Thresholds_Rates!$C$17),"-",IF(AND($B$2="Salary Points 3 to 57",B40&lt;=Thresholds_Rates!$C$17),$C40*Thresholds_Rates!$F$17,IF(AND(OR($B$2="New Consultant Contract"),$B40&lt;&gt;""),$C40*Thresholds_Rates!$F$17,IF(AND(OR($B$2="Clinical Lecturer / Medical Research Fellow",$B$2="Clinical Consultant - Old Contract (GP)"),$B40&lt;&gt;""),$C40*Thresholds_Rates!$F$17,IF(AND(OR($B$2="APM Level 7",$B$2="R&amp;T Level 7"),G40&lt;&gt;""),$C40*Thresholds_Rates!$F$17,IF(SUMIF(Grades!$A:$A,$B$2,Grades!$BQ:$BQ)=1,$C40*Thresholds_Rates!$F$17,"")))))))))</f>
        <v/>
      </c>
      <c r="I40" s="81" t="str">
        <f ca="1">IF($B40="","",ROUND(($C40-(Thresholds_Rates!$C$5*12))*Thresholds_Rates!$C$10,0))</f>
        <v/>
      </c>
      <c r="J40" s="81" t="str">
        <f ca="1">IF(B40="","",(C40*Thresholds_Rates!$C$12))</f>
        <v/>
      </c>
      <c r="K40" s="81" t="str">
        <f ca="1">IF(B40="","",IF(AND($B$2="Salary Points 3 to 57",B40&gt;Thresholds_Rates!$C$17),"-",IF(SUMIF(Grades!$A:$A,$B$2,Grades!$BR:$BR)=0,"-",IF(AND($B$2="Salary Points 3 to 57",B40&lt;=Thresholds_Rates!$C$17),$C40*Thresholds_Rates!$F$18,IF(AND(OR($B$2="New Consultant Contract"),$B40&lt;&gt;""),$C40*Thresholds_Rates!$F$18,IF(AND(OR($B$2="Clinical Lecturer / Medical Research Fellow",$B$2="Clinical Consultant - Old Contract (GP)"),$B40&lt;&gt;""),$C40*Thresholds_Rates!$F$18,IF(AND(OR($B$2="APM Level 7",$B$2="R&amp;T Level 7"),I40&lt;&gt;""),$C40*Thresholds_Rates!$F$18,IF(SUMIF(Grades!$A:$A,$B$2,Grades!$BQ:$BQ)=1,$C40*Thresholds_Rates!$F$18,""))))))))</f>
        <v/>
      </c>
      <c r="L40" s="68"/>
      <c r="M40" s="81" t="str">
        <f t="shared" ca="1" si="0"/>
        <v/>
      </c>
      <c r="N40" s="81" t="str">
        <f t="shared" ca="1" si="1"/>
        <v/>
      </c>
      <c r="O40" s="81" t="str">
        <f t="shared" ca="1" si="2"/>
        <v/>
      </c>
      <c r="P40" s="81" t="str">
        <f t="shared" ca="1" si="3"/>
        <v/>
      </c>
      <c r="Q40" s="81" t="str">
        <f t="shared" ca="1" si="4"/>
        <v/>
      </c>
      <c r="S40" s="83" t="str">
        <f ca="1">IF(B40="","",IF($B$2="R&amp;T Level 5 - Clinical Lecturers (Vet School)",SUMIF('Points Lookup'!$V:$V,$B40,'Points Lookup'!$W:$W),IF($B$2="R&amp;T Level 6 - Clinical Associate Professors and Clinical Readers (Vet School)",SUMIF('Points Lookup'!$AC:$AC,$B40,'Points Lookup'!$AD:$AD),"")))</f>
        <v/>
      </c>
      <c r="T40" s="84" t="str">
        <f ca="1">IF(B40="","",IF($B$2="R&amp;T Level 5 - Clinical Lecturers (Vet School)",$C40-SUMIF('Points Lookup'!$V:$V,$B40,'Points Lookup'!$X:$X),IF($B$2="R&amp;T Level 6 - Clinical Associate Professors and Clinical Readers (Vet School)",$C40-SUMIF('Points Lookup'!$AC:$AC,$B40,'Points Lookup'!$AE:$AE),"")))</f>
        <v/>
      </c>
      <c r="U40" s="83" t="str">
        <f ca="1">IF(B40="","",IF($B$2="R&amp;T Level 5 - Clinical Lecturers (Vet School)",SUMIF('Points Lookup'!$V:$V,$B40,'Points Lookup'!$Z:$Z),IF($B$2="R&amp;T Level 6 - Clinical Associate Professors and Clinical Readers (Vet School)",SUMIF('Points Lookup'!$AC:$AC,$B40,'Points Lookup'!$AG:$AG),"")))</f>
        <v/>
      </c>
      <c r="V40" s="84" t="str">
        <f t="shared" ca="1" si="5"/>
        <v/>
      </c>
      <c r="AA40" s="39">
        <v>34</v>
      </c>
    </row>
    <row r="41" spans="2:27" x14ac:dyDescent="0.25">
      <c r="B41" s="68" t="str">
        <f ca="1">IFERROR(INDEX('Points Lookup'!$A:$A,MATCH($AA41,'Points Lookup'!$AN:$AN,0)),"")</f>
        <v/>
      </c>
      <c r="C41" s="81" t="str">
        <f ca="1">IF(B41="","",IF($B$2="Apprenticeship",SUMIF('Points Lookup'!$AJ:$AJ,B41,'Points Lookup'!$AL:$AL),IF(AND(OR($B$2="New Consultant Contract"),$B41&lt;&gt;""),INDEX('Points Lookup'!$T:$T,MATCH($B41,'Points Lookup'!$S:$S,0)),IF(AND(OR($B$2="Clinical Lecturer / Medical Research Fellow",$B$2="Clinical Consultant - Old Contract (GP)"),$B41&lt;&gt;""),INDEX('Points Lookup'!$Q:$Q,MATCH($B41,'Points Lookup'!$P:$P,0)),IF(AND(OR($B$2="APM Level 7",$B$2="R&amp;T Level 7",$B$2="APM Level 8",$B$2="Technical Services Level 7"),B41&lt;&gt;""),INDEX('Points Lookup'!$H:$H,MATCH($AA41,'Points Lookup'!$AN:$AN,0)),IF($B$2="R&amp;T Level 5 - Clinical Lecturers (Vet School)",SUMIF('Points Lookup'!$V:$V,$B41,'Points Lookup'!$Y:$Y),IF($B$2="R&amp;T Level 6 - Clinical Associate Professors and Clinical Readers (Vet School)",SUMIF('Points Lookup'!$AC:$AC,$B41,'Points Lookup'!$AF:$AF),IFERROR(INDEX('Points Lookup'!$B:$B,MATCH($AA41,'Points Lookup'!$AN:$AN,0)),""))))))))</f>
        <v/>
      </c>
      <c r="D41" s="82" t="str">
        <f ca="1">IF(B41="","",IF(AND($B$3="Y",B41&lt;7),VLOOKUP($B41,Thresholds_Rates!$I$15:$J$18,2,FALSE),"-"))</f>
        <v/>
      </c>
      <c r="E41" s="81"/>
      <c r="F41" s="81" t="str">
        <f ca="1">IF($B41="","",IF(AND($B$2="Salary Points 3 to 57",B41&lt;Thresholds_Rates!$C$16),"-",IF(SUMIF(Grades!$A:$A,$B$2,Grades!$BO:$BO)=0,"-",IF(AND($B$2="Salary Points 3 to 57",B41&gt;=Thresholds_Rates!$C$16),$C41*Thresholds_Rates!$F$15,IF(AND(OR($B$2="New Consultant Contract"),$B41&lt;&gt;""),$C41*Thresholds_Rates!$F$15,IF(AND(OR($B$2="Clinical Lecturer / Medical Research Fellow",$B$2="Clinical Consultant - Old Contract (GP)"),$B41&lt;&gt;""),$C41*Thresholds_Rates!$F$15,IF(OR($B$2="APM Level 7",$B$2="R&amp;T Level 7"),$C41*Thresholds_Rates!$F$15,IF(SUMIF(Grades!$A:$A,$B$2,Grades!$BO:$BO)=1,$C41*Thresholds_Rates!$F$15,""))))))))</f>
        <v/>
      </c>
      <c r="G41" s="81" t="str">
        <f ca="1">IF(B41="","",IF($B$2="Salary Points 3 to 57","-",IF(SUMIF(Grades!$A:$A,$B$2,Grades!$BP:$BP)=0,"-",IF(AND(OR($B$2="New Consultant Contract"),$B41&lt;&gt;""),$C41*Thresholds_Rates!$F$16,IF(AND(OR($B$2="Clinical Lecturer / Medical Research Fellow",$B$2="Clinical Consultant - Old Contract (GP)"),$B41&lt;&gt;""),$C41*Thresholds_Rates!$F$16,IF(AND(OR($B$2="APM Level 7",$B$2="R&amp;T Level 7"),F41&lt;&gt;""),$C41*Thresholds_Rates!$F$16,IF(SUMIF(Grades!$A:$A,$B$2,Grades!$BP:$BP)=1,$C41*Thresholds_Rates!$F$16,"")))))))</f>
        <v/>
      </c>
      <c r="H41" s="81" t="str">
        <f ca="1">IF($B$2="Apprenticeship","-",IF(B41="","",IF(SUMIF(Grades!$A:$A,$B$2,Grades!$BQ:$BQ)=0,"-",IF(AND($B$2="Salary Points 3 to 57",B41&gt;Thresholds_Rates!$C$17),"-",IF(AND($B$2="Salary Points 3 to 57",B41&lt;=Thresholds_Rates!$C$17),$C41*Thresholds_Rates!$F$17,IF(AND(OR($B$2="New Consultant Contract"),$B41&lt;&gt;""),$C41*Thresholds_Rates!$F$17,IF(AND(OR($B$2="Clinical Lecturer / Medical Research Fellow",$B$2="Clinical Consultant - Old Contract (GP)"),$B41&lt;&gt;""),$C41*Thresholds_Rates!$F$17,IF(AND(OR($B$2="APM Level 7",$B$2="R&amp;T Level 7"),G41&lt;&gt;""),$C41*Thresholds_Rates!$F$17,IF(SUMIF(Grades!$A:$A,$B$2,Grades!$BQ:$BQ)=1,$C41*Thresholds_Rates!$F$17,"")))))))))</f>
        <v/>
      </c>
      <c r="I41" s="81" t="str">
        <f ca="1">IF($B41="","",ROUND(($C41-(Thresholds_Rates!$C$5*12))*Thresholds_Rates!$C$10,0))</f>
        <v/>
      </c>
      <c r="J41" s="81" t="str">
        <f ca="1">IF(B41="","",(C41*Thresholds_Rates!$C$12))</f>
        <v/>
      </c>
      <c r="K41" s="81" t="str">
        <f ca="1">IF(B41="","",IF(AND($B$2="Salary Points 3 to 57",B41&gt;Thresholds_Rates!$C$17),"-",IF(SUMIF(Grades!$A:$A,$B$2,Grades!$BR:$BR)=0,"-",IF(AND($B$2="Salary Points 3 to 57",B41&lt;=Thresholds_Rates!$C$17),$C41*Thresholds_Rates!$F$18,IF(AND(OR($B$2="New Consultant Contract"),$B41&lt;&gt;""),$C41*Thresholds_Rates!$F$18,IF(AND(OR($B$2="Clinical Lecturer / Medical Research Fellow",$B$2="Clinical Consultant - Old Contract (GP)"),$B41&lt;&gt;""),$C41*Thresholds_Rates!$F$18,IF(AND(OR($B$2="APM Level 7",$B$2="R&amp;T Level 7"),I41&lt;&gt;""),$C41*Thresholds_Rates!$F$18,IF(SUMIF(Grades!$A:$A,$B$2,Grades!$BQ:$BQ)=1,$C41*Thresholds_Rates!$F$18,""))))))))</f>
        <v/>
      </c>
      <c r="L41" s="68"/>
      <c r="M41" s="81" t="str">
        <f t="shared" ca="1" si="0"/>
        <v/>
      </c>
      <c r="N41" s="81" t="str">
        <f t="shared" ca="1" si="1"/>
        <v/>
      </c>
      <c r="O41" s="81" t="str">
        <f t="shared" ca="1" si="2"/>
        <v/>
      </c>
      <c r="P41" s="81" t="str">
        <f t="shared" ca="1" si="3"/>
        <v/>
      </c>
      <c r="Q41" s="81" t="str">
        <f t="shared" ca="1" si="4"/>
        <v/>
      </c>
      <c r="S41" s="83" t="str">
        <f ca="1">IF(B41="","",IF($B$2="R&amp;T Level 5 - Clinical Lecturers (Vet School)",SUMIF('Points Lookup'!$V:$V,$B41,'Points Lookup'!$W:$W),IF($B$2="R&amp;T Level 6 - Clinical Associate Professors and Clinical Readers (Vet School)",SUMIF('Points Lookup'!$AC:$AC,$B41,'Points Lookup'!$AD:$AD),"")))</f>
        <v/>
      </c>
      <c r="T41" s="84" t="str">
        <f ca="1">IF(B41="","",IF($B$2="R&amp;T Level 5 - Clinical Lecturers (Vet School)",$C41-SUMIF('Points Lookup'!$V:$V,$B41,'Points Lookup'!$X:$X),IF($B$2="R&amp;T Level 6 - Clinical Associate Professors and Clinical Readers (Vet School)",$C41-SUMIF('Points Lookup'!$AC:$AC,$B41,'Points Lookup'!$AE:$AE),"")))</f>
        <v/>
      </c>
      <c r="U41" s="83" t="str">
        <f ca="1">IF(B41="","",IF($B$2="R&amp;T Level 5 - Clinical Lecturers (Vet School)",SUMIF('Points Lookup'!$V:$V,$B41,'Points Lookup'!$Z:$Z),IF($B$2="R&amp;T Level 6 - Clinical Associate Professors and Clinical Readers (Vet School)",SUMIF('Points Lookup'!$AC:$AC,$B41,'Points Lookup'!$AG:$AG),"")))</f>
        <v/>
      </c>
      <c r="V41" s="84" t="str">
        <f t="shared" ca="1" si="5"/>
        <v/>
      </c>
      <c r="AA41" s="39">
        <v>35</v>
      </c>
    </row>
    <row r="42" spans="2:27" x14ac:dyDescent="0.25">
      <c r="B42" s="68" t="str">
        <f ca="1">IFERROR(INDEX('Points Lookup'!$A:$A,MATCH($AA42,'Points Lookup'!$AN:$AN,0)),"")</f>
        <v/>
      </c>
      <c r="C42" s="81" t="str">
        <f ca="1">IF(B42="","",IF($B$2="Apprenticeship",SUMIF('Points Lookup'!$AJ:$AJ,B42,'Points Lookup'!$AL:$AL),IF(AND(OR($B$2="New Consultant Contract"),$B42&lt;&gt;""),INDEX('Points Lookup'!$T:$T,MATCH($B42,'Points Lookup'!$S:$S,0)),IF(AND(OR($B$2="Clinical Lecturer / Medical Research Fellow",$B$2="Clinical Consultant - Old Contract (GP)"),$B42&lt;&gt;""),INDEX('Points Lookup'!$Q:$Q,MATCH($B42,'Points Lookup'!$P:$P,0)),IF(AND(OR($B$2="APM Level 7",$B$2="R&amp;T Level 7",$B$2="APM Level 8",$B$2="Technical Services Level 7"),B42&lt;&gt;""),INDEX('Points Lookup'!$H:$H,MATCH($AA42,'Points Lookup'!$AN:$AN,0)),IF($B$2="R&amp;T Level 5 - Clinical Lecturers (Vet School)",SUMIF('Points Lookup'!$V:$V,$B42,'Points Lookup'!$Y:$Y),IF($B$2="R&amp;T Level 6 - Clinical Associate Professors and Clinical Readers (Vet School)",SUMIF('Points Lookup'!$AC:$AC,$B42,'Points Lookup'!$AF:$AF),IFERROR(INDEX('Points Lookup'!$B:$B,MATCH($AA42,'Points Lookup'!$AN:$AN,0)),""))))))))</f>
        <v/>
      </c>
      <c r="D42" s="82" t="str">
        <f ca="1">IF(B42="","",IF(AND($B$3="Y",B42&lt;7),VLOOKUP($B42,Thresholds_Rates!$I$15:$J$18,2,FALSE),"-"))</f>
        <v/>
      </c>
      <c r="E42" s="81"/>
      <c r="F42" s="81" t="str">
        <f ca="1">IF($B42="","",IF(AND($B$2="Salary Points 3 to 57",B42&lt;Thresholds_Rates!$C$16),"-",IF(SUMIF(Grades!$A:$A,$B$2,Grades!$BO:$BO)=0,"-",IF(AND($B$2="Salary Points 3 to 57",B42&gt;=Thresholds_Rates!$C$16),$C42*Thresholds_Rates!$F$15,IF(AND(OR($B$2="New Consultant Contract"),$B42&lt;&gt;""),$C42*Thresholds_Rates!$F$15,IF(AND(OR($B$2="Clinical Lecturer / Medical Research Fellow",$B$2="Clinical Consultant - Old Contract (GP)"),$B42&lt;&gt;""),$C42*Thresholds_Rates!$F$15,IF(OR($B$2="APM Level 7",$B$2="R&amp;T Level 7"),$C42*Thresholds_Rates!$F$15,IF(SUMIF(Grades!$A:$A,$B$2,Grades!$BO:$BO)=1,$C42*Thresholds_Rates!$F$15,""))))))))</f>
        <v/>
      </c>
      <c r="G42" s="81" t="str">
        <f ca="1">IF(B42="","",IF($B$2="Salary Points 3 to 57","-",IF(SUMIF(Grades!$A:$A,$B$2,Grades!$BP:$BP)=0,"-",IF(AND(OR($B$2="New Consultant Contract"),$B42&lt;&gt;""),$C42*Thresholds_Rates!$F$16,IF(AND(OR($B$2="Clinical Lecturer / Medical Research Fellow",$B$2="Clinical Consultant - Old Contract (GP)"),$B42&lt;&gt;""),$C42*Thresholds_Rates!$F$16,IF(AND(OR($B$2="APM Level 7",$B$2="R&amp;T Level 7"),F42&lt;&gt;""),$C42*Thresholds_Rates!$F$16,IF(SUMIF(Grades!$A:$A,$B$2,Grades!$BP:$BP)=1,$C42*Thresholds_Rates!$F$16,"")))))))</f>
        <v/>
      </c>
      <c r="H42" s="81" t="str">
        <f ca="1">IF($B$2="Apprenticeship","-",IF(B42="","",IF(SUMIF(Grades!$A:$A,$B$2,Grades!$BQ:$BQ)=0,"-",IF(AND($B$2="Salary Points 3 to 57",B42&gt;Thresholds_Rates!$C$17),"-",IF(AND($B$2="Salary Points 3 to 57",B42&lt;=Thresholds_Rates!$C$17),$C42*Thresholds_Rates!$F$17,IF(AND(OR($B$2="New Consultant Contract"),$B42&lt;&gt;""),$C42*Thresholds_Rates!$F$17,IF(AND(OR($B$2="Clinical Lecturer / Medical Research Fellow",$B$2="Clinical Consultant - Old Contract (GP)"),$B42&lt;&gt;""),$C42*Thresholds_Rates!$F$17,IF(AND(OR($B$2="APM Level 7",$B$2="R&amp;T Level 7"),G42&lt;&gt;""),$C42*Thresholds_Rates!$F$17,IF(SUMIF(Grades!$A:$A,$B$2,Grades!$BQ:$BQ)=1,$C42*Thresholds_Rates!$F$17,"")))))))))</f>
        <v/>
      </c>
      <c r="I42" s="81" t="str">
        <f ca="1">IF($B42="","",ROUND(($C42-(Thresholds_Rates!$C$5*12))*Thresholds_Rates!$C$10,0))</f>
        <v/>
      </c>
      <c r="J42" s="81" t="str">
        <f ca="1">IF(B42="","",(C42*Thresholds_Rates!$C$12))</f>
        <v/>
      </c>
      <c r="K42" s="81" t="str">
        <f ca="1">IF(B42="","",IF(AND($B$2="Salary Points 3 to 57",B42&gt;Thresholds_Rates!$C$17),"-",IF(SUMIF(Grades!$A:$A,$B$2,Grades!$BR:$BR)=0,"-",IF(AND($B$2="Salary Points 3 to 57",B42&lt;=Thresholds_Rates!$C$17),$C42*Thresholds_Rates!$F$18,IF(AND(OR($B$2="New Consultant Contract"),$B42&lt;&gt;""),$C42*Thresholds_Rates!$F$18,IF(AND(OR($B$2="Clinical Lecturer / Medical Research Fellow",$B$2="Clinical Consultant - Old Contract (GP)"),$B42&lt;&gt;""),$C42*Thresholds_Rates!$F$18,IF(AND(OR($B$2="APM Level 7",$B$2="R&amp;T Level 7"),I42&lt;&gt;""),$C42*Thresholds_Rates!$F$18,IF(SUMIF(Grades!$A:$A,$B$2,Grades!$BQ:$BQ)=1,$C42*Thresholds_Rates!$F$18,""))))))))</f>
        <v/>
      </c>
      <c r="L42" s="68"/>
      <c r="M42" s="81" t="str">
        <f t="shared" ca="1" si="0"/>
        <v/>
      </c>
      <c r="N42" s="81" t="str">
        <f t="shared" ca="1" si="1"/>
        <v/>
      </c>
      <c r="O42" s="81" t="str">
        <f t="shared" ca="1" si="2"/>
        <v/>
      </c>
      <c r="P42" s="81" t="str">
        <f t="shared" ca="1" si="3"/>
        <v/>
      </c>
      <c r="Q42" s="81" t="str">
        <f t="shared" ca="1" si="4"/>
        <v/>
      </c>
      <c r="S42" s="83" t="str">
        <f ca="1">IF(B42="","",IF($B$2="R&amp;T Level 5 - Clinical Lecturers (Vet School)",SUMIF('Points Lookup'!$V:$V,$B42,'Points Lookup'!$W:$W),IF($B$2="R&amp;T Level 6 - Clinical Associate Professors and Clinical Readers (Vet School)",SUMIF('Points Lookup'!$AC:$AC,$B42,'Points Lookup'!$AD:$AD),"")))</f>
        <v/>
      </c>
      <c r="T42" s="84" t="str">
        <f ca="1">IF(B42="","",IF($B$2="R&amp;T Level 5 - Clinical Lecturers (Vet School)",$C42-SUMIF('Points Lookup'!$V:$V,$B42,'Points Lookup'!$X:$X),IF($B$2="R&amp;T Level 6 - Clinical Associate Professors and Clinical Readers (Vet School)",$C42-SUMIF('Points Lookup'!$AC:$AC,$B42,'Points Lookup'!$AE:$AE),"")))</f>
        <v/>
      </c>
      <c r="U42" s="83" t="str">
        <f ca="1">IF(B42="","",IF($B$2="R&amp;T Level 5 - Clinical Lecturers (Vet School)",SUMIF('Points Lookup'!$V:$V,$B42,'Points Lookup'!$Z:$Z),IF($B$2="R&amp;T Level 6 - Clinical Associate Professors and Clinical Readers (Vet School)",SUMIF('Points Lookup'!$AC:$AC,$B42,'Points Lookup'!$AG:$AG),"")))</f>
        <v/>
      </c>
      <c r="V42" s="84" t="str">
        <f t="shared" ca="1" si="5"/>
        <v/>
      </c>
      <c r="AA42" s="39">
        <v>36</v>
      </c>
    </row>
    <row r="43" spans="2:27" x14ac:dyDescent="0.25">
      <c r="B43" s="68" t="str">
        <f ca="1">IFERROR(INDEX('Points Lookup'!$A:$A,MATCH($AA43,'Points Lookup'!$AN:$AN,0)),"")</f>
        <v/>
      </c>
      <c r="C43" s="81" t="str">
        <f ca="1">IF(B43="","",IF($B$2="Apprenticeship",SUMIF('Points Lookup'!$AJ:$AJ,B43,'Points Lookup'!$AL:$AL),IF(AND(OR($B$2="New Consultant Contract"),$B43&lt;&gt;""),INDEX('Points Lookup'!$T:$T,MATCH($B43,'Points Lookup'!$S:$S,0)),IF(AND(OR($B$2="Clinical Lecturer / Medical Research Fellow",$B$2="Clinical Consultant - Old Contract (GP)"),$B43&lt;&gt;""),INDEX('Points Lookup'!$Q:$Q,MATCH($B43,'Points Lookup'!$P:$P,0)),IF(AND(OR($B$2="APM Level 7",$B$2="R&amp;T Level 7",$B$2="APM Level 8",$B$2="Technical Services Level 7"),B43&lt;&gt;""),INDEX('Points Lookup'!$H:$H,MATCH($AA43,'Points Lookup'!$AN:$AN,0)),IF($B$2="R&amp;T Level 5 - Clinical Lecturers (Vet School)",SUMIF('Points Lookup'!$V:$V,$B43,'Points Lookup'!$Y:$Y),IF($B$2="R&amp;T Level 6 - Clinical Associate Professors and Clinical Readers (Vet School)",SUMIF('Points Lookup'!$AC:$AC,$B43,'Points Lookup'!$AF:$AF),IFERROR(INDEX('Points Lookup'!$B:$B,MATCH($AA43,'Points Lookup'!$AN:$AN,0)),""))))))))</f>
        <v/>
      </c>
      <c r="D43" s="82" t="str">
        <f ca="1">IF(B43="","",IF(AND($B$3="Y",B43&lt;7),VLOOKUP($B43,Thresholds_Rates!$I$15:$J$18,2,FALSE),"-"))</f>
        <v/>
      </c>
      <c r="E43" s="81"/>
      <c r="F43" s="81" t="str">
        <f ca="1">IF($B43="","",IF(AND($B$2="Salary Points 3 to 57",B43&lt;Thresholds_Rates!$C$16),"-",IF(SUMIF(Grades!$A:$A,$B$2,Grades!$BO:$BO)=0,"-",IF(AND($B$2="Salary Points 3 to 57",B43&gt;=Thresholds_Rates!$C$16),$C43*Thresholds_Rates!$F$15,IF(AND(OR($B$2="New Consultant Contract"),$B43&lt;&gt;""),$C43*Thresholds_Rates!$F$15,IF(AND(OR($B$2="Clinical Lecturer / Medical Research Fellow",$B$2="Clinical Consultant - Old Contract (GP)"),$B43&lt;&gt;""),$C43*Thresholds_Rates!$F$15,IF(OR($B$2="APM Level 7",$B$2="R&amp;T Level 7"),$C43*Thresholds_Rates!$F$15,IF(SUMIF(Grades!$A:$A,$B$2,Grades!$BO:$BO)=1,$C43*Thresholds_Rates!$F$15,""))))))))</f>
        <v/>
      </c>
      <c r="G43" s="81" t="str">
        <f ca="1">IF(B43="","",IF($B$2="Salary Points 3 to 57","-",IF(SUMIF(Grades!$A:$A,$B$2,Grades!$BP:$BP)=0,"-",IF(AND(OR($B$2="New Consultant Contract"),$B43&lt;&gt;""),$C43*Thresholds_Rates!$F$16,IF(AND(OR($B$2="Clinical Lecturer / Medical Research Fellow",$B$2="Clinical Consultant - Old Contract (GP)"),$B43&lt;&gt;""),$C43*Thresholds_Rates!$F$16,IF(AND(OR($B$2="APM Level 7",$B$2="R&amp;T Level 7"),F43&lt;&gt;""),$C43*Thresholds_Rates!$F$16,IF(SUMIF(Grades!$A:$A,$B$2,Grades!$BP:$BP)=1,$C43*Thresholds_Rates!$F$16,"")))))))</f>
        <v/>
      </c>
      <c r="H43" s="81" t="str">
        <f ca="1">IF($B$2="Apprenticeship","-",IF(B43="","",IF(SUMIF(Grades!$A:$A,$B$2,Grades!$BQ:$BQ)=0,"-",IF(AND($B$2="Salary Points 3 to 57",B43&gt;Thresholds_Rates!$C$17),"-",IF(AND($B$2="Salary Points 3 to 57",B43&lt;=Thresholds_Rates!$C$17),$C43*Thresholds_Rates!$F$17,IF(AND(OR($B$2="New Consultant Contract"),$B43&lt;&gt;""),$C43*Thresholds_Rates!$F$17,IF(AND(OR($B$2="Clinical Lecturer / Medical Research Fellow",$B$2="Clinical Consultant - Old Contract (GP)"),$B43&lt;&gt;""),$C43*Thresholds_Rates!$F$17,IF(AND(OR($B$2="APM Level 7",$B$2="R&amp;T Level 7"),G43&lt;&gt;""),$C43*Thresholds_Rates!$F$17,IF(SUMIF(Grades!$A:$A,$B$2,Grades!$BQ:$BQ)=1,$C43*Thresholds_Rates!$F$17,"")))))))))</f>
        <v/>
      </c>
      <c r="I43" s="81" t="str">
        <f ca="1">IF($B43="","",ROUND(($C43-(Thresholds_Rates!$C$5*12))*Thresholds_Rates!$C$10,0))</f>
        <v/>
      </c>
      <c r="J43" s="81" t="str">
        <f ca="1">IF(B43="","",(C43*Thresholds_Rates!$C$12))</f>
        <v/>
      </c>
      <c r="K43" s="81" t="str">
        <f ca="1">IF(B43="","",IF(AND($B$2="Salary Points 3 to 57",B43&gt;Thresholds_Rates!$C$17),"-",IF(SUMIF(Grades!$A:$A,$B$2,Grades!$BR:$BR)=0,"-",IF(AND($B$2="Salary Points 3 to 57",B43&lt;=Thresholds_Rates!$C$17),$C43*Thresholds_Rates!$F$18,IF(AND(OR($B$2="New Consultant Contract"),$B43&lt;&gt;""),$C43*Thresholds_Rates!$F$18,IF(AND(OR($B$2="Clinical Lecturer / Medical Research Fellow",$B$2="Clinical Consultant - Old Contract (GP)"),$B43&lt;&gt;""),$C43*Thresholds_Rates!$F$18,IF(AND(OR($B$2="APM Level 7",$B$2="R&amp;T Level 7"),I43&lt;&gt;""),$C43*Thresholds_Rates!$F$18,IF(SUMIF(Grades!$A:$A,$B$2,Grades!$BQ:$BQ)=1,$C43*Thresholds_Rates!$F$18,""))))))))</f>
        <v/>
      </c>
      <c r="L43" s="68"/>
      <c r="M43" s="81" t="str">
        <f t="shared" ca="1" si="0"/>
        <v/>
      </c>
      <c r="N43" s="81" t="str">
        <f t="shared" ca="1" si="1"/>
        <v/>
      </c>
      <c r="O43" s="81" t="str">
        <f t="shared" ca="1" si="2"/>
        <v/>
      </c>
      <c r="P43" s="81" t="str">
        <f t="shared" ca="1" si="3"/>
        <v/>
      </c>
      <c r="Q43" s="81" t="str">
        <f t="shared" ca="1" si="4"/>
        <v/>
      </c>
      <c r="S43" s="83" t="str">
        <f ca="1">IF(B43="","",IF($B$2="R&amp;T Level 5 - Clinical Lecturers (Vet School)",SUMIF('Points Lookup'!$V:$V,$B43,'Points Lookup'!$W:$W),IF($B$2="R&amp;T Level 6 - Clinical Associate Professors and Clinical Readers (Vet School)",SUMIF('Points Lookup'!$AC:$AC,$B43,'Points Lookup'!$AD:$AD),"")))</f>
        <v/>
      </c>
      <c r="T43" s="84" t="str">
        <f ca="1">IF(B43="","",IF($B$2="R&amp;T Level 5 - Clinical Lecturers (Vet School)",$C43-SUMIF('Points Lookup'!$V:$V,$B43,'Points Lookup'!$X:$X),IF($B$2="R&amp;T Level 6 - Clinical Associate Professors and Clinical Readers (Vet School)",$C43-SUMIF('Points Lookup'!$AC:$AC,$B43,'Points Lookup'!$AE:$AE),"")))</f>
        <v/>
      </c>
      <c r="U43" s="83" t="str">
        <f ca="1">IF(B43="","",IF($B$2="R&amp;T Level 5 - Clinical Lecturers (Vet School)",SUMIF('Points Lookup'!$V:$V,$B43,'Points Lookup'!$Z:$Z),IF($B$2="R&amp;T Level 6 - Clinical Associate Professors and Clinical Readers (Vet School)",SUMIF('Points Lookup'!$AC:$AC,$B43,'Points Lookup'!$AG:$AG),"")))</f>
        <v/>
      </c>
      <c r="V43" s="84" t="str">
        <f t="shared" ca="1" si="5"/>
        <v/>
      </c>
      <c r="AA43" s="39">
        <v>37</v>
      </c>
    </row>
    <row r="44" spans="2:27" x14ac:dyDescent="0.25">
      <c r="B44" s="68" t="str">
        <f ca="1">IFERROR(INDEX('Points Lookup'!$A:$A,MATCH($AA44,'Points Lookup'!$AN:$AN,0)),"")</f>
        <v/>
      </c>
      <c r="C44" s="81" t="str">
        <f ca="1">IF(B44="","",IF($B$2="Apprenticeship",SUMIF('Points Lookup'!$AJ:$AJ,B44,'Points Lookup'!$AL:$AL),IF(AND(OR($B$2="New Consultant Contract"),$B44&lt;&gt;""),INDEX('Points Lookup'!$T:$T,MATCH($B44,'Points Lookup'!$S:$S,0)),IF(AND(OR($B$2="Clinical Lecturer / Medical Research Fellow",$B$2="Clinical Consultant - Old Contract (GP)"),$B44&lt;&gt;""),INDEX('Points Lookup'!$Q:$Q,MATCH($B44,'Points Lookup'!$P:$P,0)),IF(AND(OR($B$2="APM Level 7",$B$2="R&amp;T Level 7",$B$2="APM Level 8",$B$2="Technical Services Level 7"),B44&lt;&gt;""),INDEX('Points Lookup'!$H:$H,MATCH($AA44,'Points Lookup'!$AN:$AN,0)),IF($B$2="R&amp;T Level 5 - Clinical Lecturers (Vet School)",SUMIF('Points Lookup'!$V:$V,$B44,'Points Lookup'!$Y:$Y),IF($B$2="R&amp;T Level 6 - Clinical Associate Professors and Clinical Readers (Vet School)",SUMIF('Points Lookup'!$AC:$AC,$B44,'Points Lookup'!$AF:$AF),IFERROR(INDEX('Points Lookup'!$B:$B,MATCH($AA44,'Points Lookup'!$AN:$AN,0)),""))))))))</f>
        <v/>
      </c>
      <c r="D44" s="82" t="str">
        <f ca="1">IF(B44="","",IF(AND($B$3="Y",B44&lt;7),VLOOKUP($B44,Thresholds_Rates!$I$15:$J$18,2,FALSE),"-"))</f>
        <v/>
      </c>
      <c r="E44" s="81"/>
      <c r="F44" s="81" t="str">
        <f ca="1">IF($B44="","",IF(AND($B$2="Salary Points 3 to 57",B44&lt;Thresholds_Rates!$C$16),"-",IF(SUMIF(Grades!$A:$A,$B$2,Grades!$BO:$BO)=0,"-",IF(AND($B$2="Salary Points 3 to 57",B44&gt;=Thresholds_Rates!$C$16),$C44*Thresholds_Rates!$F$15,IF(AND(OR($B$2="New Consultant Contract"),$B44&lt;&gt;""),$C44*Thresholds_Rates!$F$15,IF(AND(OR($B$2="Clinical Lecturer / Medical Research Fellow",$B$2="Clinical Consultant - Old Contract (GP)"),$B44&lt;&gt;""),$C44*Thresholds_Rates!$F$15,IF(OR($B$2="APM Level 7",$B$2="R&amp;T Level 7"),$C44*Thresholds_Rates!$F$15,IF(SUMIF(Grades!$A:$A,$B$2,Grades!$BO:$BO)=1,$C44*Thresholds_Rates!$F$15,""))))))))</f>
        <v/>
      </c>
      <c r="G44" s="81" t="str">
        <f ca="1">IF(B44="","",IF($B$2="Salary Points 3 to 57","-",IF(SUMIF(Grades!$A:$A,$B$2,Grades!$BP:$BP)=0,"-",IF(AND(OR($B$2="New Consultant Contract"),$B44&lt;&gt;""),$C44*Thresholds_Rates!$F$16,IF(AND(OR($B$2="Clinical Lecturer / Medical Research Fellow",$B$2="Clinical Consultant - Old Contract (GP)"),$B44&lt;&gt;""),$C44*Thresholds_Rates!$F$16,IF(AND(OR($B$2="APM Level 7",$B$2="R&amp;T Level 7"),F44&lt;&gt;""),$C44*Thresholds_Rates!$F$16,IF(SUMIF(Grades!$A:$A,$B$2,Grades!$BP:$BP)=1,$C44*Thresholds_Rates!$F$16,"")))))))</f>
        <v/>
      </c>
      <c r="H44" s="81" t="str">
        <f ca="1">IF($B$2="Apprenticeship","-",IF(B44="","",IF(SUMIF(Grades!$A:$A,$B$2,Grades!$BQ:$BQ)=0,"-",IF(AND($B$2="Salary Points 3 to 57",B44&gt;Thresholds_Rates!$C$17),"-",IF(AND($B$2="Salary Points 3 to 57",B44&lt;=Thresholds_Rates!$C$17),$C44*Thresholds_Rates!$F$17,IF(AND(OR($B$2="New Consultant Contract"),$B44&lt;&gt;""),$C44*Thresholds_Rates!$F$17,IF(AND(OR($B$2="Clinical Lecturer / Medical Research Fellow",$B$2="Clinical Consultant - Old Contract (GP)"),$B44&lt;&gt;""),$C44*Thresholds_Rates!$F$17,IF(AND(OR($B$2="APM Level 7",$B$2="R&amp;T Level 7"),G44&lt;&gt;""),$C44*Thresholds_Rates!$F$17,IF(SUMIF(Grades!$A:$A,$B$2,Grades!$BQ:$BQ)=1,$C44*Thresholds_Rates!$F$17,"")))))))))</f>
        <v/>
      </c>
      <c r="I44" s="81" t="str">
        <f ca="1">IF($B44="","",ROUND(($C44-(Thresholds_Rates!$C$5*12))*Thresholds_Rates!$C$10,0))</f>
        <v/>
      </c>
      <c r="J44" s="81" t="str">
        <f ca="1">IF(B44="","",(C44*Thresholds_Rates!$C$12))</f>
        <v/>
      </c>
      <c r="K44" s="81" t="str">
        <f ca="1">IF(B44="","",IF(AND($B$2="Salary Points 3 to 57",B44&gt;Thresholds_Rates!$C$17),"-",IF(SUMIF(Grades!$A:$A,$B$2,Grades!$BR:$BR)=0,"-",IF(AND($B$2="Salary Points 3 to 57",B44&lt;=Thresholds_Rates!$C$17),$C44*Thresholds_Rates!$F$18,IF(AND(OR($B$2="New Consultant Contract"),$B44&lt;&gt;""),$C44*Thresholds_Rates!$F$18,IF(AND(OR($B$2="Clinical Lecturer / Medical Research Fellow",$B$2="Clinical Consultant - Old Contract (GP)"),$B44&lt;&gt;""),$C44*Thresholds_Rates!$F$18,IF(AND(OR($B$2="APM Level 7",$B$2="R&amp;T Level 7"),I44&lt;&gt;""),$C44*Thresholds_Rates!$F$18,IF(SUMIF(Grades!$A:$A,$B$2,Grades!$BQ:$BQ)=1,$C44*Thresholds_Rates!$F$18,""))))))))</f>
        <v/>
      </c>
      <c r="L44" s="68"/>
      <c r="M44" s="81" t="str">
        <f t="shared" ca="1" si="0"/>
        <v/>
      </c>
      <c r="N44" s="81" t="str">
        <f t="shared" ca="1" si="1"/>
        <v/>
      </c>
      <c r="O44" s="81" t="str">
        <f t="shared" ca="1" si="2"/>
        <v/>
      </c>
      <c r="P44" s="81" t="str">
        <f t="shared" ca="1" si="3"/>
        <v/>
      </c>
      <c r="Q44" s="81" t="str">
        <f t="shared" ca="1" si="4"/>
        <v/>
      </c>
      <c r="S44" s="83" t="str">
        <f ca="1">IF(B44="","",IF($B$2="R&amp;T Level 5 - Clinical Lecturers (Vet School)",SUMIF('Points Lookup'!$V:$V,$B44,'Points Lookup'!$W:$W),IF($B$2="R&amp;T Level 6 - Clinical Associate Professors and Clinical Readers (Vet School)",SUMIF('Points Lookup'!$AC:$AC,$B44,'Points Lookup'!$AD:$AD),"")))</f>
        <v/>
      </c>
      <c r="T44" s="84" t="str">
        <f ca="1">IF(B44="","",IF($B$2="R&amp;T Level 5 - Clinical Lecturers (Vet School)",$C44-SUMIF('Points Lookup'!$V:$V,$B44,'Points Lookup'!$X:$X),IF($B$2="R&amp;T Level 6 - Clinical Associate Professors and Clinical Readers (Vet School)",$C44-SUMIF('Points Lookup'!$AC:$AC,$B44,'Points Lookup'!$AE:$AE),"")))</f>
        <v/>
      </c>
      <c r="U44" s="83" t="str">
        <f ca="1">IF(B44="","",IF($B$2="R&amp;T Level 5 - Clinical Lecturers (Vet School)",SUMIF('Points Lookup'!$V:$V,$B44,'Points Lookup'!$Z:$Z),IF($B$2="R&amp;T Level 6 - Clinical Associate Professors and Clinical Readers (Vet School)",SUMIF('Points Lookup'!$AC:$AC,$B44,'Points Lookup'!$AG:$AG),"")))</f>
        <v/>
      </c>
      <c r="V44" s="84" t="str">
        <f t="shared" ca="1" si="5"/>
        <v/>
      </c>
      <c r="AA44" s="39">
        <v>38</v>
      </c>
    </row>
    <row r="45" spans="2:27" x14ac:dyDescent="0.25">
      <c r="B45" s="68" t="str">
        <f ca="1">IFERROR(INDEX('Points Lookup'!$A:$A,MATCH($AA45,'Points Lookup'!$AN:$AN,0)),"")</f>
        <v/>
      </c>
      <c r="C45" s="81" t="str">
        <f ca="1">IF(B45="","",IF($B$2="Apprenticeship",SUMIF('Points Lookup'!$AJ:$AJ,B45,'Points Lookup'!$AL:$AL),IF(AND(OR($B$2="New Consultant Contract"),$B45&lt;&gt;""),INDEX('Points Lookup'!$T:$T,MATCH($B45,'Points Lookup'!$S:$S,0)),IF(AND(OR($B$2="Clinical Lecturer / Medical Research Fellow",$B$2="Clinical Consultant - Old Contract (GP)"),$B45&lt;&gt;""),INDEX('Points Lookup'!$Q:$Q,MATCH($B45,'Points Lookup'!$P:$P,0)),IF(AND(OR($B$2="APM Level 7",$B$2="R&amp;T Level 7",$B$2="APM Level 8",$B$2="Technical Services Level 7"),B45&lt;&gt;""),INDEX('Points Lookup'!$H:$H,MATCH($AA45,'Points Lookup'!$AN:$AN,0)),IF($B$2="R&amp;T Level 5 - Clinical Lecturers (Vet School)",SUMIF('Points Lookup'!$V:$V,$B45,'Points Lookup'!$Y:$Y),IF($B$2="R&amp;T Level 6 - Clinical Associate Professors and Clinical Readers (Vet School)",SUMIF('Points Lookup'!$AC:$AC,$B45,'Points Lookup'!$AF:$AF),IFERROR(INDEX('Points Lookup'!$B:$B,MATCH($AA45,'Points Lookup'!$AN:$AN,0)),""))))))))</f>
        <v/>
      </c>
      <c r="D45" s="82" t="str">
        <f ca="1">IF(B45="","",IF(AND($B$3="Y",B45&lt;7),VLOOKUP($B45,Thresholds_Rates!$I$15:$J$18,2,FALSE),"-"))</f>
        <v/>
      </c>
      <c r="E45" s="81"/>
      <c r="F45" s="81" t="str">
        <f ca="1">IF($B45="","",IF(AND($B$2="Salary Points 3 to 57",B45&lt;Thresholds_Rates!$C$16),"-",IF(SUMIF(Grades!$A:$A,$B$2,Grades!$BO:$BO)=0,"-",IF(AND($B$2="Salary Points 3 to 57",B45&gt;=Thresholds_Rates!$C$16),$C45*Thresholds_Rates!$F$15,IF(AND(OR($B$2="New Consultant Contract"),$B45&lt;&gt;""),$C45*Thresholds_Rates!$F$15,IF(AND(OR($B$2="Clinical Lecturer / Medical Research Fellow",$B$2="Clinical Consultant - Old Contract (GP)"),$B45&lt;&gt;""),$C45*Thresholds_Rates!$F$15,IF(OR($B$2="APM Level 7",$B$2="R&amp;T Level 7"),$C45*Thresholds_Rates!$F$15,IF(SUMIF(Grades!$A:$A,$B$2,Grades!$BO:$BO)=1,$C45*Thresholds_Rates!$F$15,""))))))))</f>
        <v/>
      </c>
      <c r="G45" s="81" t="str">
        <f ca="1">IF(B45="","",IF($B$2="Salary Points 3 to 57","-",IF(SUMIF(Grades!$A:$A,$B$2,Grades!$BP:$BP)=0,"-",IF(AND(OR($B$2="New Consultant Contract"),$B45&lt;&gt;""),$C45*Thresholds_Rates!$F$16,IF(AND(OR($B$2="Clinical Lecturer / Medical Research Fellow",$B$2="Clinical Consultant - Old Contract (GP)"),$B45&lt;&gt;""),$C45*Thresholds_Rates!$F$16,IF(AND(OR($B$2="APM Level 7",$B$2="R&amp;T Level 7"),F45&lt;&gt;""),$C45*Thresholds_Rates!$F$16,IF(SUMIF(Grades!$A:$A,$B$2,Grades!$BP:$BP)=1,$C45*Thresholds_Rates!$F$16,"")))))))</f>
        <v/>
      </c>
      <c r="H45" s="81" t="str">
        <f ca="1">IF($B$2="Apprenticeship","-",IF(B45="","",IF(SUMIF(Grades!$A:$A,$B$2,Grades!$BQ:$BQ)=0,"-",IF(AND($B$2="Salary Points 3 to 57",B45&gt;Thresholds_Rates!$C$17),"-",IF(AND($B$2="Salary Points 3 to 57",B45&lt;=Thresholds_Rates!$C$17),$C45*Thresholds_Rates!$F$17,IF(AND(OR($B$2="New Consultant Contract"),$B45&lt;&gt;""),$C45*Thresholds_Rates!$F$17,IF(AND(OR($B$2="Clinical Lecturer / Medical Research Fellow",$B$2="Clinical Consultant - Old Contract (GP)"),$B45&lt;&gt;""),$C45*Thresholds_Rates!$F$17,IF(AND(OR($B$2="APM Level 7",$B$2="R&amp;T Level 7"),G45&lt;&gt;""),$C45*Thresholds_Rates!$F$17,IF(SUMIF(Grades!$A:$A,$B$2,Grades!$BQ:$BQ)=1,$C45*Thresholds_Rates!$F$17,"")))))))))</f>
        <v/>
      </c>
      <c r="I45" s="81" t="str">
        <f ca="1">IF($B45="","",ROUND(($C45-(Thresholds_Rates!$C$5*12))*Thresholds_Rates!$C$10,0))</f>
        <v/>
      </c>
      <c r="J45" s="81" t="str">
        <f ca="1">IF(B45="","",(C45*Thresholds_Rates!$C$12))</f>
        <v/>
      </c>
      <c r="K45" s="81" t="str">
        <f ca="1">IF(B45="","",IF(AND($B$2="Salary Points 3 to 57",B45&gt;Thresholds_Rates!$C$17),"-",IF(SUMIF(Grades!$A:$A,$B$2,Grades!$BR:$BR)=0,"-",IF(AND($B$2="Salary Points 3 to 57",B45&lt;=Thresholds_Rates!$C$17),$C45*Thresholds_Rates!$F$18,IF(AND(OR($B$2="New Consultant Contract"),$B45&lt;&gt;""),$C45*Thresholds_Rates!$F$18,IF(AND(OR($B$2="Clinical Lecturer / Medical Research Fellow",$B$2="Clinical Consultant - Old Contract (GP)"),$B45&lt;&gt;""),$C45*Thresholds_Rates!$F$18,IF(AND(OR($B$2="APM Level 7",$B$2="R&amp;T Level 7"),I45&lt;&gt;""),$C45*Thresholds_Rates!$F$18,IF(SUMIF(Grades!$A:$A,$B$2,Grades!$BQ:$BQ)=1,$C45*Thresholds_Rates!$F$18,""))))))))</f>
        <v/>
      </c>
      <c r="L45" s="68"/>
      <c r="M45" s="81" t="str">
        <f t="shared" ca="1" si="0"/>
        <v/>
      </c>
      <c r="N45" s="81" t="str">
        <f t="shared" ca="1" si="1"/>
        <v/>
      </c>
      <c r="O45" s="81" t="str">
        <f t="shared" ca="1" si="2"/>
        <v/>
      </c>
      <c r="P45" s="81" t="str">
        <f t="shared" ca="1" si="3"/>
        <v/>
      </c>
      <c r="Q45" s="81" t="str">
        <f t="shared" ca="1" si="4"/>
        <v/>
      </c>
      <c r="S45" s="83" t="str">
        <f ca="1">IF(B45="","",IF($B$2="R&amp;T Level 5 - Clinical Lecturers (Vet School)",SUMIF('Points Lookup'!$V:$V,$B45,'Points Lookup'!$W:$W),IF($B$2="R&amp;T Level 6 - Clinical Associate Professors and Clinical Readers (Vet School)",SUMIF('Points Lookup'!$AC:$AC,$B45,'Points Lookup'!$AD:$AD),"")))</f>
        <v/>
      </c>
      <c r="T45" s="84" t="str">
        <f ca="1">IF(B45="","",IF($B$2="R&amp;T Level 5 - Clinical Lecturers (Vet School)",$C45-SUMIF('Points Lookup'!$V:$V,$B45,'Points Lookup'!$X:$X),IF($B$2="R&amp;T Level 6 - Clinical Associate Professors and Clinical Readers (Vet School)",$C45-SUMIF('Points Lookup'!$AC:$AC,$B45,'Points Lookup'!$AE:$AE),"")))</f>
        <v/>
      </c>
      <c r="U45" s="83" t="str">
        <f ca="1">IF(B45="","",IF($B$2="R&amp;T Level 5 - Clinical Lecturers (Vet School)",SUMIF('Points Lookup'!$V:$V,$B45,'Points Lookup'!$Z:$Z),IF($B$2="R&amp;T Level 6 - Clinical Associate Professors and Clinical Readers (Vet School)",SUMIF('Points Lookup'!$AC:$AC,$B45,'Points Lookup'!$AG:$AG),"")))</f>
        <v/>
      </c>
      <c r="V45" s="84" t="str">
        <f t="shared" ca="1" si="5"/>
        <v/>
      </c>
      <c r="AA45" s="39">
        <v>39</v>
      </c>
    </row>
    <row r="46" spans="2:27" x14ac:dyDescent="0.25">
      <c r="B46" s="68" t="str">
        <f ca="1">IFERROR(INDEX('Points Lookup'!$A:$A,MATCH($AA46,'Points Lookup'!$AN:$AN,0)),"")</f>
        <v/>
      </c>
      <c r="C46" s="81" t="str">
        <f ca="1">IF(B46="","",IF($B$2="Apprenticeship",SUMIF('Points Lookup'!$AJ:$AJ,B46,'Points Lookup'!$AL:$AL),IF(AND(OR($B$2="New Consultant Contract"),$B46&lt;&gt;""),INDEX('Points Lookup'!$T:$T,MATCH($B46,'Points Lookup'!$S:$S,0)),IF(AND(OR($B$2="Clinical Lecturer / Medical Research Fellow",$B$2="Clinical Consultant - Old Contract (GP)"),$B46&lt;&gt;""),INDEX('Points Lookup'!$Q:$Q,MATCH($B46,'Points Lookup'!$P:$P,0)),IF(AND(OR($B$2="APM Level 7",$B$2="R&amp;T Level 7",$B$2="APM Level 8",$B$2="Technical Services Level 7"),B46&lt;&gt;""),INDEX('Points Lookup'!$H:$H,MATCH($AA46,'Points Lookup'!$AN:$AN,0)),IF($B$2="R&amp;T Level 5 - Clinical Lecturers (Vet School)",SUMIF('Points Lookup'!$V:$V,$B46,'Points Lookup'!$Y:$Y),IF($B$2="R&amp;T Level 6 - Clinical Associate Professors and Clinical Readers (Vet School)",SUMIF('Points Lookup'!$AC:$AC,$B46,'Points Lookup'!$AF:$AF),IFERROR(INDEX('Points Lookup'!$B:$B,MATCH($AA46,'Points Lookup'!$AN:$AN,0)),""))))))))</f>
        <v/>
      </c>
      <c r="D46" s="82" t="str">
        <f ca="1">IF(B46="","",IF(AND($B$3="Y",B46&lt;7),VLOOKUP($B46,Thresholds_Rates!$I$15:$J$18,2,FALSE),"-"))</f>
        <v/>
      </c>
      <c r="E46" s="81"/>
      <c r="F46" s="81" t="str">
        <f ca="1">IF($B46="","",IF(AND($B$2="Salary Points 3 to 57",B46&lt;Thresholds_Rates!$C$16),"-",IF(SUMIF(Grades!$A:$A,$B$2,Grades!$BO:$BO)=0,"-",IF(AND($B$2="Salary Points 3 to 57",B46&gt;=Thresholds_Rates!$C$16),$C46*Thresholds_Rates!$F$15,IF(AND(OR($B$2="New Consultant Contract"),$B46&lt;&gt;""),$C46*Thresholds_Rates!$F$15,IF(AND(OR($B$2="Clinical Lecturer / Medical Research Fellow",$B$2="Clinical Consultant - Old Contract (GP)"),$B46&lt;&gt;""),$C46*Thresholds_Rates!$F$15,IF(OR($B$2="APM Level 7",$B$2="R&amp;T Level 7"),$C46*Thresholds_Rates!$F$15,IF(SUMIF(Grades!$A:$A,$B$2,Grades!$BO:$BO)=1,$C46*Thresholds_Rates!$F$15,""))))))))</f>
        <v/>
      </c>
      <c r="G46" s="81" t="str">
        <f ca="1">IF(B46="","",IF($B$2="Salary Points 3 to 57","-",IF(SUMIF(Grades!$A:$A,$B$2,Grades!$BP:$BP)=0,"-",IF(AND(OR($B$2="New Consultant Contract"),$B46&lt;&gt;""),$C46*Thresholds_Rates!$F$16,IF(AND(OR($B$2="Clinical Lecturer / Medical Research Fellow",$B$2="Clinical Consultant - Old Contract (GP)"),$B46&lt;&gt;""),$C46*Thresholds_Rates!$F$16,IF(AND(OR($B$2="APM Level 7",$B$2="R&amp;T Level 7"),F46&lt;&gt;""),$C46*Thresholds_Rates!$F$16,IF(SUMIF(Grades!$A:$A,$B$2,Grades!$BP:$BP)=1,$C46*Thresholds_Rates!$F$16,"")))))))</f>
        <v/>
      </c>
      <c r="H46" s="81" t="str">
        <f ca="1">IF($B$2="Apprenticeship","-",IF(B46="","",IF(SUMIF(Grades!$A:$A,$B$2,Grades!$BQ:$BQ)=0,"-",IF(AND($B$2="Salary Points 3 to 57",B46&gt;Thresholds_Rates!$C$17),"-",IF(AND($B$2="Salary Points 3 to 57",B46&lt;=Thresholds_Rates!$C$17),$C46*Thresholds_Rates!$F$17,IF(AND(OR($B$2="New Consultant Contract"),$B46&lt;&gt;""),$C46*Thresholds_Rates!$F$17,IF(AND(OR($B$2="Clinical Lecturer / Medical Research Fellow",$B$2="Clinical Consultant - Old Contract (GP)"),$B46&lt;&gt;""),$C46*Thresholds_Rates!$F$17,IF(AND(OR($B$2="APM Level 7",$B$2="R&amp;T Level 7"),G46&lt;&gt;""),$C46*Thresholds_Rates!$F$17,IF(SUMIF(Grades!$A:$A,$B$2,Grades!$BQ:$BQ)=1,$C46*Thresholds_Rates!$F$17,"")))))))))</f>
        <v/>
      </c>
      <c r="I46" s="81" t="str">
        <f ca="1">IF($B46="","",ROUND(($C46-(Thresholds_Rates!$C$5*12))*Thresholds_Rates!$C$10,0))</f>
        <v/>
      </c>
      <c r="J46" s="81" t="str">
        <f ca="1">IF(B46="","",(C46*Thresholds_Rates!$C$12))</f>
        <v/>
      </c>
      <c r="K46" s="81" t="str">
        <f ca="1">IF(B46="","",IF(AND($B$2="Salary Points 3 to 57",B46&gt;Thresholds_Rates!$C$17),"-",IF(SUMIF(Grades!$A:$A,$B$2,Grades!$BR:$BR)=0,"-",IF(AND($B$2="Salary Points 3 to 57",B46&lt;=Thresholds_Rates!$C$17),$C46*Thresholds_Rates!$F$18,IF(AND(OR($B$2="New Consultant Contract"),$B46&lt;&gt;""),$C46*Thresholds_Rates!$F$18,IF(AND(OR($B$2="Clinical Lecturer / Medical Research Fellow",$B$2="Clinical Consultant - Old Contract (GP)"),$B46&lt;&gt;""),$C46*Thresholds_Rates!$F$18,IF(AND(OR($B$2="APM Level 7",$B$2="R&amp;T Level 7"),I46&lt;&gt;""),$C46*Thresholds_Rates!$F$18,IF(SUMIF(Grades!$A:$A,$B$2,Grades!$BQ:$BQ)=1,$C46*Thresholds_Rates!$F$18,""))))))))</f>
        <v/>
      </c>
      <c r="L46" s="68"/>
      <c r="M46" s="81" t="str">
        <f t="shared" ca="1" si="0"/>
        <v/>
      </c>
      <c r="N46" s="81" t="str">
        <f t="shared" ca="1" si="1"/>
        <v/>
      </c>
      <c r="O46" s="81" t="str">
        <f t="shared" ca="1" si="2"/>
        <v/>
      </c>
      <c r="P46" s="81" t="str">
        <f t="shared" ca="1" si="3"/>
        <v/>
      </c>
      <c r="Q46" s="81" t="str">
        <f t="shared" ca="1" si="4"/>
        <v/>
      </c>
      <c r="S46" s="83" t="str">
        <f ca="1">IF(B46="","",IF($B$2="R&amp;T Level 5 - Clinical Lecturers (Vet School)",SUMIF('Points Lookup'!$V:$V,$B46,'Points Lookup'!$W:$W),IF($B$2="R&amp;T Level 6 - Clinical Associate Professors and Clinical Readers (Vet School)",SUMIF('Points Lookup'!$AC:$AC,$B46,'Points Lookup'!$AD:$AD),"")))</f>
        <v/>
      </c>
      <c r="T46" s="84" t="str">
        <f ca="1">IF(B46="","",IF($B$2="R&amp;T Level 5 - Clinical Lecturers (Vet School)",$C46-SUMIF('Points Lookup'!$V:$V,$B46,'Points Lookup'!$X:$X),IF($B$2="R&amp;T Level 6 - Clinical Associate Professors and Clinical Readers (Vet School)",$C46-SUMIF('Points Lookup'!$AC:$AC,$B46,'Points Lookup'!$AE:$AE),"")))</f>
        <v/>
      </c>
      <c r="U46" s="83" t="str">
        <f ca="1">IF(B46="","",IF($B$2="R&amp;T Level 5 - Clinical Lecturers (Vet School)",SUMIF('Points Lookup'!$V:$V,$B46,'Points Lookup'!$Z:$Z),IF($B$2="R&amp;T Level 6 - Clinical Associate Professors and Clinical Readers (Vet School)",SUMIF('Points Lookup'!$AC:$AC,$B46,'Points Lookup'!$AG:$AG),"")))</f>
        <v/>
      </c>
      <c r="V46" s="84" t="str">
        <f t="shared" ca="1" si="5"/>
        <v/>
      </c>
      <c r="AA46" s="39">
        <v>40</v>
      </c>
    </row>
    <row r="47" spans="2:27" x14ac:dyDescent="0.25">
      <c r="B47" s="68" t="str">
        <f ca="1">IFERROR(INDEX('Points Lookup'!$A:$A,MATCH($AA47,'Points Lookup'!$AN:$AN,0)),"")</f>
        <v/>
      </c>
      <c r="C47" s="81" t="str">
        <f ca="1">IF(B47="","",IF($B$2="Apprenticeship",SUMIF('Points Lookup'!$AJ:$AJ,B47,'Points Lookup'!$AL:$AL),IF(AND(OR($B$2="New Consultant Contract"),$B47&lt;&gt;""),INDEX('Points Lookup'!$T:$T,MATCH($B47,'Points Lookup'!$S:$S,0)),IF(AND(OR($B$2="Clinical Lecturer / Medical Research Fellow",$B$2="Clinical Consultant - Old Contract (GP)"),$B47&lt;&gt;""),INDEX('Points Lookup'!$Q:$Q,MATCH($B47,'Points Lookup'!$P:$P,0)),IF(AND(OR($B$2="APM Level 7",$B$2="R&amp;T Level 7",$B$2="APM Level 8",$B$2="Technical Services Level 7"),B47&lt;&gt;""),INDEX('Points Lookup'!$H:$H,MATCH($AA47,'Points Lookup'!$AN:$AN,0)),IF($B$2="R&amp;T Level 5 - Clinical Lecturers (Vet School)",SUMIF('Points Lookup'!$V:$V,$B47,'Points Lookup'!$Y:$Y),IF($B$2="R&amp;T Level 6 - Clinical Associate Professors and Clinical Readers (Vet School)",SUMIF('Points Lookup'!$AC:$AC,$B47,'Points Lookup'!$AF:$AF),IFERROR(INDEX('Points Lookup'!$B:$B,MATCH($AA47,'Points Lookup'!$AN:$AN,0)),""))))))))</f>
        <v/>
      </c>
      <c r="D47" s="82" t="str">
        <f ca="1">IF(B47="","",IF(AND($B$3="Y",B47&lt;7),VLOOKUP($B47,Thresholds_Rates!$I$15:$J$18,2,FALSE),"-"))</f>
        <v/>
      </c>
      <c r="E47" s="81"/>
      <c r="F47" s="81" t="str">
        <f ca="1">IF($B47="","",IF(AND($B$2="Salary Points 3 to 57",B47&lt;Thresholds_Rates!$C$16),"-",IF(SUMIF(Grades!$A:$A,$B$2,Grades!$BO:$BO)=0,"-",IF(AND($B$2="Salary Points 3 to 57",B47&gt;=Thresholds_Rates!$C$16),$C47*Thresholds_Rates!$F$15,IF(AND(OR($B$2="New Consultant Contract"),$B47&lt;&gt;""),$C47*Thresholds_Rates!$F$15,IF(AND(OR($B$2="Clinical Lecturer / Medical Research Fellow",$B$2="Clinical Consultant - Old Contract (GP)"),$B47&lt;&gt;""),$C47*Thresholds_Rates!$F$15,IF(OR($B$2="APM Level 7",$B$2="R&amp;T Level 7"),$C47*Thresholds_Rates!$F$15,IF(SUMIF(Grades!$A:$A,$B$2,Grades!$BO:$BO)=1,$C47*Thresholds_Rates!$F$15,""))))))))</f>
        <v/>
      </c>
      <c r="G47" s="81" t="str">
        <f ca="1">IF(B47="","",IF($B$2="Salary Points 3 to 57","-",IF(SUMIF(Grades!$A:$A,$B$2,Grades!$BP:$BP)=0,"-",IF(AND(OR($B$2="New Consultant Contract"),$B47&lt;&gt;""),$C47*Thresholds_Rates!$F$16,IF(AND(OR($B$2="Clinical Lecturer / Medical Research Fellow",$B$2="Clinical Consultant - Old Contract (GP)"),$B47&lt;&gt;""),$C47*Thresholds_Rates!$F$16,IF(AND(OR($B$2="APM Level 7",$B$2="R&amp;T Level 7"),F47&lt;&gt;""),$C47*Thresholds_Rates!$F$16,IF(SUMIF(Grades!$A:$A,$B$2,Grades!$BP:$BP)=1,$C47*Thresholds_Rates!$F$16,"")))))))</f>
        <v/>
      </c>
      <c r="H47" s="81" t="str">
        <f ca="1">IF($B$2="Apprenticeship","-",IF(B47="","",IF(SUMIF(Grades!$A:$A,$B$2,Grades!$BQ:$BQ)=0,"-",IF(AND($B$2="Salary Points 3 to 57",B47&gt;Thresholds_Rates!$C$17),"-",IF(AND($B$2="Salary Points 3 to 57",B47&lt;=Thresholds_Rates!$C$17),$C47*Thresholds_Rates!$F$17,IF(AND(OR($B$2="New Consultant Contract"),$B47&lt;&gt;""),$C47*Thresholds_Rates!$F$17,IF(AND(OR($B$2="Clinical Lecturer / Medical Research Fellow",$B$2="Clinical Consultant - Old Contract (GP)"),$B47&lt;&gt;""),$C47*Thresholds_Rates!$F$17,IF(AND(OR($B$2="APM Level 7",$B$2="R&amp;T Level 7"),G47&lt;&gt;""),$C47*Thresholds_Rates!$F$17,IF(SUMIF(Grades!$A:$A,$B$2,Grades!$BQ:$BQ)=1,$C47*Thresholds_Rates!$F$17,"")))))))))</f>
        <v/>
      </c>
      <c r="I47" s="81" t="str">
        <f ca="1">IF($B47="","",ROUND(($C47-(Thresholds_Rates!$C$5*12))*Thresholds_Rates!$C$10,0))</f>
        <v/>
      </c>
      <c r="J47" s="81" t="str">
        <f ca="1">IF(B47="","",(C47*Thresholds_Rates!$C$12))</f>
        <v/>
      </c>
      <c r="K47" s="81" t="str">
        <f ca="1">IF(B47="","",IF(AND($B$2="Salary Points 3 to 57",B47&gt;Thresholds_Rates!$C$17),"-",IF(SUMIF(Grades!$A:$A,$B$2,Grades!$BR:$BR)=0,"-",IF(AND($B$2="Salary Points 3 to 57",B47&lt;=Thresholds_Rates!$C$17),$C47*Thresholds_Rates!$F$18,IF(AND(OR($B$2="New Consultant Contract"),$B47&lt;&gt;""),$C47*Thresholds_Rates!$F$18,IF(AND(OR($B$2="Clinical Lecturer / Medical Research Fellow",$B$2="Clinical Consultant - Old Contract (GP)"),$B47&lt;&gt;""),$C47*Thresholds_Rates!$F$18,IF(AND(OR($B$2="APM Level 7",$B$2="R&amp;T Level 7"),I47&lt;&gt;""),$C47*Thresholds_Rates!$F$18,IF(SUMIF(Grades!$A:$A,$B$2,Grades!$BQ:$BQ)=1,$C47*Thresholds_Rates!$F$18,""))))))))</f>
        <v/>
      </c>
      <c r="L47" s="68"/>
      <c r="M47" s="81" t="str">
        <f t="shared" ca="1" si="0"/>
        <v/>
      </c>
      <c r="N47" s="81" t="str">
        <f t="shared" ca="1" si="1"/>
        <v/>
      </c>
      <c r="O47" s="81" t="str">
        <f t="shared" ca="1" si="2"/>
        <v/>
      </c>
      <c r="P47" s="81" t="str">
        <f t="shared" ca="1" si="3"/>
        <v/>
      </c>
      <c r="Q47" s="81" t="str">
        <f t="shared" ca="1" si="4"/>
        <v/>
      </c>
      <c r="S47" s="83" t="str">
        <f ca="1">IF(B47="","",IF($B$2="R&amp;T Level 5 - Clinical Lecturers (Vet School)",SUMIF('Points Lookup'!$V:$V,$B47,'Points Lookup'!$W:$W),IF($B$2="R&amp;T Level 6 - Clinical Associate Professors and Clinical Readers (Vet School)",SUMIF('Points Lookup'!$AC:$AC,$B47,'Points Lookup'!$AD:$AD),"")))</f>
        <v/>
      </c>
      <c r="T47" s="84" t="str">
        <f ca="1">IF(B47="","",IF($B$2="R&amp;T Level 5 - Clinical Lecturers (Vet School)",$C47-SUMIF('Points Lookup'!$V:$V,$B47,'Points Lookup'!$X:$X),IF($B$2="R&amp;T Level 6 - Clinical Associate Professors and Clinical Readers (Vet School)",$C47-SUMIF('Points Lookup'!$AC:$AC,$B47,'Points Lookup'!$AE:$AE),"")))</f>
        <v/>
      </c>
      <c r="U47" s="83" t="str">
        <f ca="1">IF(B47="","",IF($B$2="R&amp;T Level 5 - Clinical Lecturers (Vet School)",SUMIF('Points Lookup'!$V:$V,$B47,'Points Lookup'!$Z:$Z),IF($B$2="R&amp;T Level 6 - Clinical Associate Professors and Clinical Readers (Vet School)",SUMIF('Points Lookup'!$AC:$AC,$B47,'Points Lookup'!$AG:$AG),"")))</f>
        <v/>
      </c>
      <c r="V47" s="84" t="str">
        <f t="shared" ca="1" si="5"/>
        <v/>
      </c>
      <c r="AA47" s="39">
        <v>41</v>
      </c>
    </row>
    <row r="48" spans="2:27" x14ac:dyDescent="0.25">
      <c r="B48" s="68" t="str">
        <f ca="1">IFERROR(INDEX('Points Lookup'!$A:$A,MATCH($AA48,'Points Lookup'!$AN:$AN,0)),"")</f>
        <v/>
      </c>
      <c r="C48" s="81" t="str">
        <f ca="1">IF(B48="","",IF($B$2="Apprenticeship",SUMIF('Points Lookup'!$AJ:$AJ,B48,'Points Lookup'!$AL:$AL),IF(AND(OR($B$2="New Consultant Contract"),$B48&lt;&gt;""),INDEX('Points Lookup'!$T:$T,MATCH($B48,'Points Lookup'!$S:$S,0)),IF(AND(OR($B$2="Clinical Lecturer / Medical Research Fellow",$B$2="Clinical Consultant - Old Contract (GP)"),$B48&lt;&gt;""),INDEX('Points Lookup'!$Q:$Q,MATCH($B48,'Points Lookup'!$P:$P,0)),IF(AND(OR($B$2="APM Level 7",$B$2="R&amp;T Level 7",$B$2="APM Level 8",$B$2="Technical Services Level 7"),B48&lt;&gt;""),INDEX('Points Lookup'!$H:$H,MATCH($AA48,'Points Lookup'!$AN:$AN,0)),IF($B$2="R&amp;T Level 5 - Clinical Lecturers (Vet School)",SUMIF('Points Lookup'!$V:$V,$B48,'Points Lookup'!$Y:$Y),IF($B$2="R&amp;T Level 6 - Clinical Associate Professors and Clinical Readers (Vet School)",SUMIF('Points Lookup'!$AC:$AC,$B48,'Points Lookup'!$AF:$AF),IFERROR(INDEX('Points Lookup'!$B:$B,MATCH($AA48,'Points Lookup'!$AN:$AN,0)),""))))))))</f>
        <v/>
      </c>
      <c r="D48" s="82" t="str">
        <f ca="1">IF(B48="","",IF(AND($B$3="Y",B48&lt;7),VLOOKUP($B48,Thresholds_Rates!$I$15:$J$18,2,FALSE),"-"))</f>
        <v/>
      </c>
      <c r="E48" s="81"/>
      <c r="F48" s="81" t="str">
        <f ca="1">IF($B48="","",IF(AND($B$2="Salary Points 3 to 57",B48&lt;Thresholds_Rates!$C$16),"-",IF(SUMIF(Grades!$A:$A,$B$2,Grades!$BO:$BO)=0,"-",IF(AND($B$2="Salary Points 3 to 57",B48&gt;=Thresholds_Rates!$C$16),$C48*Thresholds_Rates!$F$15,IF(AND(OR($B$2="New Consultant Contract"),$B48&lt;&gt;""),$C48*Thresholds_Rates!$F$15,IF(AND(OR($B$2="Clinical Lecturer / Medical Research Fellow",$B$2="Clinical Consultant - Old Contract (GP)"),$B48&lt;&gt;""),$C48*Thresholds_Rates!$F$15,IF(OR($B$2="APM Level 7",$B$2="R&amp;T Level 7"),$C48*Thresholds_Rates!$F$15,IF(SUMIF(Grades!$A:$A,$B$2,Grades!$BO:$BO)=1,$C48*Thresholds_Rates!$F$15,""))))))))</f>
        <v/>
      </c>
      <c r="G48" s="81" t="str">
        <f ca="1">IF(B48="","",IF($B$2="Salary Points 3 to 57","-",IF(SUMIF(Grades!$A:$A,$B$2,Grades!$BP:$BP)=0,"-",IF(AND(OR($B$2="New Consultant Contract"),$B48&lt;&gt;""),$C48*Thresholds_Rates!$F$16,IF(AND(OR($B$2="Clinical Lecturer / Medical Research Fellow",$B$2="Clinical Consultant - Old Contract (GP)"),$B48&lt;&gt;""),$C48*Thresholds_Rates!$F$16,IF(AND(OR($B$2="APM Level 7",$B$2="R&amp;T Level 7"),F48&lt;&gt;""),$C48*Thresholds_Rates!$F$16,IF(SUMIF(Grades!$A:$A,$B$2,Grades!$BP:$BP)=1,$C48*Thresholds_Rates!$F$16,"")))))))</f>
        <v/>
      </c>
      <c r="H48" s="81" t="str">
        <f ca="1">IF($B$2="Apprenticeship","-",IF(B48="","",IF(SUMIF(Grades!$A:$A,$B$2,Grades!$BQ:$BQ)=0,"-",IF(AND($B$2="Salary Points 3 to 57",B48&gt;Thresholds_Rates!$C$17),"-",IF(AND($B$2="Salary Points 3 to 57",B48&lt;=Thresholds_Rates!$C$17),$C48*Thresholds_Rates!$F$17,IF(AND(OR($B$2="New Consultant Contract"),$B48&lt;&gt;""),$C48*Thresholds_Rates!$F$17,IF(AND(OR($B$2="Clinical Lecturer / Medical Research Fellow",$B$2="Clinical Consultant - Old Contract (GP)"),$B48&lt;&gt;""),$C48*Thresholds_Rates!$F$17,IF(AND(OR($B$2="APM Level 7",$B$2="R&amp;T Level 7"),G48&lt;&gt;""),$C48*Thresholds_Rates!$F$17,IF(SUMIF(Grades!$A:$A,$B$2,Grades!$BQ:$BQ)=1,$C48*Thresholds_Rates!$F$17,"")))))))))</f>
        <v/>
      </c>
      <c r="I48" s="81" t="str">
        <f ca="1">IF($B48="","",ROUND(($C48-(Thresholds_Rates!$C$5*12))*Thresholds_Rates!$C$10,0))</f>
        <v/>
      </c>
      <c r="J48" s="81" t="str">
        <f ca="1">IF(B48="","",(C48*Thresholds_Rates!$C$12))</f>
        <v/>
      </c>
      <c r="K48" s="81" t="str">
        <f ca="1">IF(B48="","",IF(AND($B$2="Salary Points 3 to 57",B48&gt;Thresholds_Rates!$C$17),"-",IF(SUMIF(Grades!$A:$A,$B$2,Grades!$BR:$BR)=0,"-",IF(AND($B$2="Salary Points 3 to 57",B48&lt;=Thresholds_Rates!$C$17),$C48*Thresholds_Rates!$F$18,IF(AND(OR($B$2="New Consultant Contract"),$B48&lt;&gt;""),$C48*Thresholds_Rates!$F$18,IF(AND(OR($B$2="Clinical Lecturer / Medical Research Fellow",$B$2="Clinical Consultant - Old Contract (GP)"),$B48&lt;&gt;""),$C48*Thresholds_Rates!$F$18,IF(AND(OR($B$2="APM Level 7",$B$2="R&amp;T Level 7"),I48&lt;&gt;""),$C48*Thresholds_Rates!$F$18,IF(SUMIF(Grades!$A:$A,$B$2,Grades!$BQ:$BQ)=1,$C48*Thresholds_Rates!$F$18,""))))))))</f>
        <v/>
      </c>
      <c r="L48" s="68"/>
      <c r="M48" s="81" t="str">
        <f t="shared" ca="1" si="0"/>
        <v/>
      </c>
      <c r="N48" s="81" t="str">
        <f t="shared" ca="1" si="1"/>
        <v/>
      </c>
      <c r="O48" s="81" t="str">
        <f t="shared" ca="1" si="2"/>
        <v/>
      </c>
      <c r="P48" s="81" t="str">
        <f t="shared" ca="1" si="3"/>
        <v/>
      </c>
      <c r="Q48" s="81" t="str">
        <f t="shared" ca="1" si="4"/>
        <v/>
      </c>
      <c r="S48" s="83" t="str">
        <f ca="1">IF(B48="","",IF($B$2="R&amp;T Level 5 - Clinical Lecturers (Vet School)",SUMIF('Points Lookup'!$V:$V,$B48,'Points Lookup'!$W:$W),IF($B$2="R&amp;T Level 6 - Clinical Associate Professors and Clinical Readers (Vet School)",SUMIF('Points Lookup'!$AC:$AC,$B48,'Points Lookup'!$AD:$AD),"")))</f>
        <v/>
      </c>
      <c r="T48" s="84" t="str">
        <f ca="1">IF(B48="","",IF($B$2="R&amp;T Level 5 - Clinical Lecturers (Vet School)",$C48-SUMIF('Points Lookup'!$V:$V,$B48,'Points Lookup'!$X:$X),IF($B$2="R&amp;T Level 6 - Clinical Associate Professors and Clinical Readers (Vet School)",$C48-SUMIF('Points Lookup'!$AC:$AC,$B48,'Points Lookup'!$AE:$AE),"")))</f>
        <v/>
      </c>
      <c r="U48" s="83" t="str">
        <f ca="1">IF(B48="","",IF($B$2="R&amp;T Level 5 - Clinical Lecturers (Vet School)",SUMIF('Points Lookup'!$V:$V,$B48,'Points Lookup'!$Z:$Z),IF($B$2="R&amp;T Level 6 - Clinical Associate Professors and Clinical Readers (Vet School)",SUMIF('Points Lookup'!$AC:$AC,$B48,'Points Lookup'!$AG:$AG),"")))</f>
        <v/>
      </c>
      <c r="V48" s="84" t="str">
        <f t="shared" ca="1" si="5"/>
        <v/>
      </c>
      <c r="AA48" s="39">
        <v>42</v>
      </c>
    </row>
    <row r="49" spans="2:27" x14ac:dyDescent="0.25">
      <c r="B49" s="68" t="str">
        <f ca="1">IFERROR(INDEX('Points Lookup'!$A:$A,MATCH($AA49,'Points Lookup'!$AN:$AN,0)),"")</f>
        <v/>
      </c>
      <c r="C49" s="81" t="str">
        <f ca="1">IF(B49="","",IF($B$2="Apprenticeship",SUMIF('Points Lookup'!$AJ:$AJ,B49,'Points Lookup'!$AL:$AL),IF(AND(OR($B$2="New Consultant Contract"),$B49&lt;&gt;""),INDEX('Points Lookup'!$T:$T,MATCH($B49,'Points Lookup'!$S:$S,0)),IF(AND(OR($B$2="Clinical Lecturer / Medical Research Fellow",$B$2="Clinical Consultant - Old Contract (GP)"),$B49&lt;&gt;""),INDEX('Points Lookup'!$Q:$Q,MATCH($B49,'Points Lookup'!$P:$P,0)),IF(AND(OR($B$2="APM Level 7",$B$2="R&amp;T Level 7",$B$2="APM Level 8",$B$2="Technical Services Level 7"),B49&lt;&gt;""),INDEX('Points Lookup'!$H:$H,MATCH($AA49,'Points Lookup'!$AN:$AN,0)),IF($B$2="R&amp;T Level 5 - Clinical Lecturers (Vet School)",SUMIF('Points Lookup'!$V:$V,$B49,'Points Lookup'!$Y:$Y),IF($B$2="R&amp;T Level 6 - Clinical Associate Professors and Clinical Readers (Vet School)",SUMIF('Points Lookup'!$AC:$AC,$B49,'Points Lookup'!$AF:$AF),IFERROR(INDEX('Points Lookup'!$B:$B,MATCH($AA49,'Points Lookup'!$AN:$AN,0)),""))))))))</f>
        <v/>
      </c>
      <c r="D49" s="82" t="str">
        <f ca="1">IF(B49="","",IF(AND($B$3="Y",B49&lt;7),VLOOKUP($B49,Thresholds_Rates!$I$15:$J$18,2,FALSE),"-"))</f>
        <v/>
      </c>
      <c r="E49" s="81"/>
      <c r="F49" s="81" t="str">
        <f ca="1">IF($B49="","",IF(AND($B$2="Salary Points 3 to 57",B49&lt;Thresholds_Rates!$C$16),"-",IF(SUMIF(Grades!$A:$A,$B$2,Grades!$BO:$BO)=0,"-",IF(AND($B$2="Salary Points 3 to 57",B49&gt;=Thresholds_Rates!$C$16),$C49*Thresholds_Rates!$F$15,IF(AND(OR($B$2="New Consultant Contract"),$B49&lt;&gt;""),$C49*Thresholds_Rates!$F$15,IF(AND(OR($B$2="Clinical Lecturer / Medical Research Fellow",$B$2="Clinical Consultant - Old Contract (GP)"),$B49&lt;&gt;""),$C49*Thresholds_Rates!$F$15,IF(OR($B$2="APM Level 7",$B$2="R&amp;T Level 7"),$C49*Thresholds_Rates!$F$15,IF(SUMIF(Grades!$A:$A,$B$2,Grades!$BO:$BO)=1,$C49*Thresholds_Rates!$F$15,""))))))))</f>
        <v/>
      </c>
      <c r="G49" s="81" t="str">
        <f ca="1">IF(B49="","",IF($B$2="Salary Points 3 to 57","-",IF(SUMIF(Grades!$A:$A,$B$2,Grades!$BP:$BP)=0,"-",IF(AND(OR($B$2="New Consultant Contract"),$B49&lt;&gt;""),$C49*Thresholds_Rates!$F$16,IF(AND(OR($B$2="Clinical Lecturer / Medical Research Fellow",$B$2="Clinical Consultant - Old Contract (GP)"),$B49&lt;&gt;""),$C49*Thresholds_Rates!$F$16,IF(AND(OR($B$2="APM Level 7",$B$2="R&amp;T Level 7"),F49&lt;&gt;""),$C49*Thresholds_Rates!$F$16,IF(SUMIF(Grades!$A:$A,$B$2,Grades!$BP:$BP)=1,$C49*Thresholds_Rates!$F$16,"")))))))</f>
        <v/>
      </c>
      <c r="H49" s="81" t="str">
        <f ca="1">IF($B$2="Apprenticeship","-",IF(B49="","",IF(SUMIF(Grades!$A:$A,$B$2,Grades!$BQ:$BQ)=0,"-",IF(AND($B$2="Salary Points 3 to 57",B49&gt;Thresholds_Rates!$C$17),"-",IF(AND($B$2="Salary Points 3 to 57",B49&lt;=Thresholds_Rates!$C$17),$C49*Thresholds_Rates!$F$17,IF(AND(OR($B$2="New Consultant Contract"),$B49&lt;&gt;""),$C49*Thresholds_Rates!$F$17,IF(AND(OR($B$2="Clinical Lecturer / Medical Research Fellow",$B$2="Clinical Consultant - Old Contract (GP)"),$B49&lt;&gt;""),$C49*Thresholds_Rates!$F$17,IF(AND(OR($B$2="APM Level 7",$B$2="R&amp;T Level 7"),G49&lt;&gt;""),$C49*Thresholds_Rates!$F$17,IF(SUMIF(Grades!$A:$A,$B$2,Grades!$BQ:$BQ)=1,$C49*Thresholds_Rates!$F$17,"")))))))))</f>
        <v/>
      </c>
      <c r="I49" s="81" t="str">
        <f ca="1">IF($B49="","",ROUND(($C49-(Thresholds_Rates!$C$5*12))*Thresholds_Rates!$C$10,0))</f>
        <v/>
      </c>
      <c r="J49" s="81" t="str">
        <f ca="1">IF(B49="","",(C49*Thresholds_Rates!$C$12))</f>
        <v/>
      </c>
      <c r="K49" s="81" t="str">
        <f ca="1">IF(B49="","",IF(AND($B$2="Salary Points 3 to 57",B49&gt;Thresholds_Rates!$C$17),"-",IF(SUMIF(Grades!$A:$A,$B$2,Grades!$BR:$BR)=0,"-",IF(AND($B$2="Salary Points 3 to 57",B49&lt;=Thresholds_Rates!$C$17),$C49*Thresholds_Rates!$F$18,IF(AND(OR($B$2="New Consultant Contract"),$B49&lt;&gt;""),$C49*Thresholds_Rates!$F$18,IF(AND(OR($B$2="Clinical Lecturer / Medical Research Fellow",$B$2="Clinical Consultant - Old Contract (GP)"),$B49&lt;&gt;""),$C49*Thresholds_Rates!$F$18,IF(AND(OR($B$2="APM Level 7",$B$2="R&amp;T Level 7"),I49&lt;&gt;""),$C49*Thresholds_Rates!$F$18,IF(SUMIF(Grades!$A:$A,$B$2,Grades!$BQ:$BQ)=1,$C49*Thresholds_Rates!$F$18,""))))))))</f>
        <v/>
      </c>
      <c r="L49" s="68"/>
      <c r="M49" s="81" t="str">
        <f t="shared" ca="1" si="0"/>
        <v/>
      </c>
      <c r="N49" s="81" t="str">
        <f t="shared" ca="1" si="1"/>
        <v/>
      </c>
      <c r="O49" s="81" t="str">
        <f t="shared" ca="1" si="2"/>
        <v/>
      </c>
      <c r="P49" s="81" t="str">
        <f t="shared" ca="1" si="3"/>
        <v/>
      </c>
      <c r="Q49" s="81" t="str">
        <f t="shared" ca="1" si="4"/>
        <v/>
      </c>
      <c r="S49" s="83" t="str">
        <f ca="1">IF(B49="","",IF($B$2="R&amp;T Level 5 - Clinical Lecturers (Vet School)",SUMIF('Points Lookup'!$V:$V,$B49,'Points Lookup'!$W:$W),IF($B$2="R&amp;T Level 6 - Clinical Associate Professors and Clinical Readers (Vet School)",SUMIF('Points Lookup'!$AC:$AC,$B49,'Points Lookup'!$AD:$AD),"")))</f>
        <v/>
      </c>
      <c r="T49" s="84" t="str">
        <f ca="1">IF(B49="","",IF($B$2="R&amp;T Level 5 - Clinical Lecturers (Vet School)",$C49-SUMIF('Points Lookup'!$V:$V,$B49,'Points Lookup'!$X:$X),IF($B$2="R&amp;T Level 6 - Clinical Associate Professors and Clinical Readers (Vet School)",$C49-SUMIF('Points Lookup'!$AC:$AC,$B49,'Points Lookup'!$AE:$AE),"")))</f>
        <v/>
      </c>
      <c r="U49" s="83" t="str">
        <f ca="1">IF(B49="","",IF($B$2="R&amp;T Level 5 - Clinical Lecturers (Vet School)",SUMIF('Points Lookup'!$V:$V,$B49,'Points Lookup'!$Z:$Z),IF($B$2="R&amp;T Level 6 - Clinical Associate Professors and Clinical Readers (Vet School)",SUMIF('Points Lookup'!$AC:$AC,$B49,'Points Lookup'!$AG:$AG),"")))</f>
        <v/>
      </c>
      <c r="V49" s="84" t="str">
        <f t="shared" ca="1" si="5"/>
        <v/>
      </c>
      <c r="AA49" s="39">
        <v>43</v>
      </c>
    </row>
    <row r="50" spans="2:27" x14ac:dyDescent="0.25">
      <c r="B50" s="68" t="str">
        <f ca="1">IFERROR(INDEX('Points Lookup'!$A:$A,MATCH($AA50,'Points Lookup'!$AN:$AN,0)),"")</f>
        <v/>
      </c>
      <c r="C50" s="81" t="str">
        <f ca="1">IF(B50="","",IF($B$2="Apprenticeship",SUMIF('Points Lookup'!$AJ:$AJ,B50,'Points Lookup'!$AL:$AL),IF(AND(OR($B$2="New Consultant Contract"),$B50&lt;&gt;""),INDEX('Points Lookup'!$T:$T,MATCH($B50,'Points Lookup'!$S:$S,0)),IF(AND(OR($B$2="Clinical Lecturer / Medical Research Fellow",$B$2="Clinical Consultant - Old Contract (GP)"),$B50&lt;&gt;""),INDEX('Points Lookup'!$Q:$Q,MATCH($B50,'Points Lookup'!$P:$P,0)),IF(AND(OR($B$2="APM Level 7",$B$2="R&amp;T Level 7",$B$2="APM Level 8",$B$2="Technical Services Level 7"),B50&lt;&gt;""),INDEX('Points Lookup'!$H:$H,MATCH($AA50,'Points Lookup'!$AN:$AN,0)),IF($B$2="R&amp;T Level 5 - Clinical Lecturers (Vet School)",SUMIF('Points Lookup'!$V:$V,$B50,'Points Lookup'!$Y:$Y),IF($B$2="R&amp;T Level 6 - Clinical Associate Professors and Clinical Readers (Vet School)",SUMIF('Points Lookup'!$AC:$AC,$B50,'Points Lookup'!$AF:$AF),IFERROR(INDEX('Points Lookup'!$B:$B,MATCH($AA50,'Points Lookup'!$AN:$AN,0)),""))))))))</f>
        <v/>
      </c>
      <c r="D50" s="82" t="str">
        <f ca="1">IF(B50="","",IF(AND($B$3="Y",B50&lt;7),VLOOKUP($B50,Thresholds_Rates!$I$15:$J$18,2,FALSE),"-"))</f>
        <v/>
      </c>
      <c r="E50" s="81"/>
      <c r="F50" s="81" t="str">
        <f ca="1">IF($B50="","",IF(AND($B$2="Salary Points 3 to 57",B50&lt;Thresholds_Rates!$C$16),"-",IF(SUMIF(Grades!$A:$A,$B$2,Grades!$BO:$BO)=0,"-",IF(AND($B$2="Salary Points 3 to 57",B50&gt;=Thresholds_Rates!$C$16),$C50*Thresholds_Rates!$F$15,IF(AND(OR($B$2="New Consultant Contract"),$B50&lt;&gt;""),$C50*Thresholds_Rates!$F$15,IF(AND(OR($B$2="Clinical Lecturer / Medical Research Fellow",$B$2="Clinical Consultant - Old Contract (GP)"),$B50&lt;&gt;""),$C50*Thresholds_Rates!$F$15,IF(OR($B$2="APM Level 7",$B$2="R&amp;T Level 7"),$C50*Thresholds_Rates!$F$15,IF(SUMIF(Grades!$A:$A,$B$2,Grades!$BO:$BO)=1,$C50*Thresholds_Rates!$F$15,""))))))))</f>
        <v/>
      </c>
      <c r="G50" s="81" t="str">
        <f ca="1">IF(B50="","",IF($B$2="Salary Points 3 to 57","-",IF(SUMIF(Grades!$A:$A,$B$2,Grades!$BP:$BP)=0,"-",IF(AND(OR($B$2="New Consultant Contract"),$B50&lt;&gt;""),$C50*Thresholds_Rates!$F$16,IF(AND(OR($B$2="Clinical Lecturer / Medical Research Fellow",$B$2="Clinical Consultant - Old Contract (GP)"),$B50&lt;&gt;""),$C50*Thresholds_Rates!$F$16,IF(AND(OR($B$2="APM Level 7",$B$2="R&amp;T Level 7"),F50&lt;&gt;""),$C50*Thresholds_Rates!$F$16,IF(SUMIF(Grades!$A:$A,$B$2,Grades!$BP:$BP)=1,$C50*Thresholds_Rates!$F$16,"")))))))</f>
        <v/>
      </c>
      <c r="H50" s="81" t="str">
        <f ca="1">IF($B$2="Apprenticeship","-",IF(B50="","",IF(SUMIF(Grades!$A:$A,$B$2,Grades!$BQ:$BQ)=0,"-",IF(AND($B$2="Salary Points 3 to 57",B50&gt;Thresholds_Rates!$C$17),"-",IF(AND($B$2="Salary Points 3 to 57",B50&lt;=Thresholds_Rates!$C$17),$C50*Thresholds_Rates!$F$17,IF(AND(OR($B$2="New Consultant Contract"),$B50&lt;&gt;""),$C50*Thresholds_Rates!$F$17,IF(AND(OR($B$2="Clinical Lecturer / Medical Research Fellow",$B$2="Clinical Consultant - Old Contract (GP)"),$B50&lt;&gt;""),$C50*Thresholds_Rates!$F$17,IF(AND(OR($B$2="APM Level 7",$B$2="R&amp;T Level 7"),G50&lt;&gt;""),$C50*Thresholds_Rates!$F$17,IF(SUMIF(Grades!$A:$A,$B$2,Grades!$BQ:$BQ)=1,$C50*Thresholds_Rates!$F$17,"")))))))))</f>
        <v/>
      </c>
      <c r="I50" s="81" t="str">
        <f ca="1">IF($B50="","",ROUND(($C50-(Thresholds_Rates!$C$5*12))*Thresholds_Rates!$C$10,0))</f>
        <v/>
      </c>
      <c r="J50" s="81" t="str">
        <f ca="1">IF(B50="","",(C50*Thresholds_Rates!$C$12))</f>
        <v/>
      </c>
      <c r="K50" s="81" t="str">
        <f ca="1">IF(B50="","",IF(AND($B$2="Salary Points 3 to 57",B50&gt;Thresholds_Rates!$C$17),"-",IF(SUMIF(Grades!$A:$A,$B$2,Grades!$BR:$BR)=0,"-",IF(AND($B$2="Salary Points 3 to 57",B50&lt;=Thresholds_Rates!$C$17),$C50*Thresholds_Rates!$F$18,IF(AND(OR($B$2="New Consultant Contract"),$B50&lt;&gt;""),$C50*Thresholds_Rates!$F$18,IF(AND(OR($B$2="Clinical Lecturer / Medical Research Fellow",$B$2="Clinical Consultant - Old Contract (GP)"),$B50&lt;&gt;""),$C50*Thresholds_Rates!$F$18,IF(AND(OR($B$2="APM Level 7",$B$2="R&amp;T Level 7"),I50&lt;&gt;""),$C50*Thresholds_Rates!$F$18,IF(SUMIF(Grades!$A:$A,$B$2,Grades!$BQ:$BQ)=1,$C50*Thresholds_Rates!$F$18,""))))))))</f>
        <v/>
      </c>
      <c r="L50" s="68"/>
      <c r="M50" s="81" t="str">
        <f t="shared" ca="1" si="0"/>
        <v/>
      </c>
      <c r="N50" s="81" t="str">
        <f t="shared" ca="1" si="1"/>
        <v/>
      </c>
      <c r="O50" s="81" t="str">
        <f t="shared" ca="1" si="2"/>
        <v/>
      </c>
      <c r="P50" s="81" t="str">
        <f t="shared" ca="1" si="3"/>
        <v/>
      </c>
      <c r="Q50" s="81" t="str">
        <f t="shared" ca="1" si="4"/>
        <v/>
      </c>
      <c r="S50" s="83" t="str">
        <f ca="1">IF(B50="","",IF($B$2="R&amp;T Level 5 - Clinical Lecturers (Vet School)",SUMIF('Points Lookup'!$V:$V,$B50,'Points Lookup'!$W:$W),IF($B$2="R&amp;T Level 6 - Clinical Associate Professors and Clinical Readers (Vet School)",SUMIF('Points Lookup'!$AC:$AC,$B50,'Points Lookup'!$AD:$AD),"")))</f>
        <v/>
      </c>
      <c r="T50" s="84" t="str">
        <f ca="1">IF(B50="","",IF($B$2="R&amp;T Level 5 - Clinical Lecturers (Vet School)",$C50-SUMIF('Points Lookup'!$V:$V,$B50,'Points Lookup'!$X:$X),IF($B$2="R&amp;T Level 6 - Clinical Associate Professors and Clinical Readers (Vet School)",$C50-SUMIF('Points Lookup'!$AC:$AC,$B50,'Points Lookup'!$AE:$AE),"")))</f>
        <v/>
      </c>
      <c r="U50" s="83" t="str">
        <f ca="1">IF(B50="","",IF($B$2="R&amp;T Level 5 - Clinical Lecturers (Vet School)",SUMIF('Points Lookup'!$V:$V,$B50,'Points Lookup'!$Z:$Z),IF($B$2="R&amp;T Level 6 - Clinical Associate Professors and Clinical Readers (Vet School)",SUMIF('Points Lookup'!$AC:$AC,$B50,'Points Lookup'!$AG:$AG),"")))</f>
        <v/>
      </c>
      <c r="V50" s="84" t="str">
        <f t="shared" ca="1" si="5"/>
        <v/>
      </c>
      <c r="AA50" s="39">
        <v>44</v>
      </c>
    </row>
    <row r="51" spans="2:27" x14ac:dyDescent="0.25">
      <c r="B51" s="68" t="str">
        <f ca="1">IFERROR(INDEX('Points Lookup'!$A:$A,MATCH($AA51,'Points Lookup'!$AN:$AN,0)),"")</f>
        <v/>
      </c>
      <c r="C51" s="81" t="str">
        <f ca="1">IF(B51="","",IF($B$2="Apprenticeship",SUMIF('Points Lookup'!$AJ:$AJ,B51,'Points Lookup'!$AL:$AL),IF(AND(OR($B$2="New Consultant Contract"),$B51&lt;&gt;""),INDEX('Points Lookup'!$T:$T,MATCH($B51,'Points Lookup'!$S:$S,0)),IF(AND(OR($B$2="Clinical Lecturer / Medical Research Fellow",$B$2="Clinical Consultant - Old Contract (GP)"),$B51&lt;&gt;""),INDEX('Points Lookup'!$Q:$Q,MATCH($B51,'Points Lookup'!$P:$P,0)),IF(AND(OR($B$2="APM Level 7",$B$2="R&amp;T Level 7",$B$2="APM Level 8",$B$2="Technical Services Level 7"),B51&lt;&gt;""),INDEX('Points Lookup'!$H:$H,MATCH($AA51,'Points Lookup'!$AN:$AN,0)),IF($B$2="R&amp;T Level 5 - Clinical Lecturers (Vet School)",SUMIF('Points Lookup'!$V:$V,$B51,'Points Lookup'!$Y:$Y),IF($B$2="R&amp;T Level 6 - Clinical Associate Professors and Clinical Readers (Vet School)",SUMIF('Points Lookup'!$AC:$AC,$B51,'Points Lookup'!$AF:$AF),IFERROR(INDEX('Points Lookup'!$B:$B,MATCH($AA51,'Points Lookup'!$AN:$AN,0)),""))))))))</f>
        <v/>
      </c>
      <c r="D51" s="82" t="str">
        <f ca="1">IF(B51="","",IF(AND($B$3="Y",B51&lt;7),VLOOKUP($B51,Thresholds_Rates!$I$15:$J$18,2,FALSE),"-"))</f>
        <v/>
      </c>
      <c r="E51" s="81"/>
      <c r="F51" s="81" t="str">
        <f ca="1">IF($B51="","",IF(AND($B$2="Salary Points 3 to 57",B51&lt;Thresholds_Rates!$C$16),"-",IF(SUMIF(Grades!$A:$A,$B$2,Grades!$BO:$BO)=0,"-",IF(AND($B$2="Salary Points 3 to 57",B51&gt;=Thresholds_Rates!$C$16),$C51*Thresholds_Rates!$F$15,IF(AND(OR($B$2="New Consultant Contract"),$B51&lt;&gt;""),$C51*Thresholds_Rates!$F$15,IF(AND(OR($B$2="Clinical Lecturer / Medical Research Fellow",$B$2="Clinical Consultant - Old Contract (GP)"),$B51&lt;&gt;""),$C51*Thresholds_Rates!$F$15,IF(OR($B$2="APM Level 7",$B$2="R&amp;T Level 7"),$C51*Thresholds_Rates!$F$15,IF(SUMIF(Grades!$A:$A,$B$2,Grades!$BO:$BO)=1,$C51*Thresholds_Rates!$F$15,""))))))))</f>
        <v/>
      </c>
      <c r="G51" s="81" t="str">
        <f ca="1">IF(B51="","",IF($B$2="Salary Points 3 to 57","-",IF(SUMIF(Grades!$A:$A,$B$2,Grades!$BP:$BP)=0,"-",IF(AND(OR($B$2="New Consultant Contract"),$B51&lt;&gt;""),$C51*Thresholds_Rates!$F$16,IF(AND(OR($B$2="Clinical Lecturer / Medical Research Fellow",$B$2="Clinical Consultant - Old Contract (GP)"),$B51&lt;&gt;""),$C51*Thresholds_Rates!$F$16,IF(AND(OR($B$2="APM Level 7",$B$2="R&amp;T Level 7"),F51&lt;&gt;""),$C51*Thresholds_Rates!$F$16,IF(SUMIF(Grades!$A:$A,$B$2,Grades!$BP:$BP)=1,$C51*Thresholds_Rates!$F$16,"")))))))</f>
        <v/>
      </c>
      <c r="H51" s="81" t="str">
        <f ca="1">IF($B$2="Apprenticeship","-",IF(B51="","",IF(SUMIF(Grades!$A:$A,$B$2,Grades!$BQ:$BQ)=0,"-",IF(AND($B$2="Salary Points 3 to 57",B51&gt;Thresholds_Rates!$C$17),"-",IF(AND($B$2="Salary Points 3 to 57",B51&lt;=Thresholds_Rates!$C$17),$C51*Thresholds_Rates!$F$17,IF(AND(OR($B$2="New Consultant Contract"),$B51&lt;&gt;""),$C51*Thresholds_Rates!$F$17,IF(AND(OR($B$2="Clinical Lecturer / Medical Research Fellow",$B$2="Clinical Consultant - Old Contract (GP)"),$B51&lt;&gt;""),$C51*Thresholds_Rates!$F$17,IF(AND(OR($B$2="APM Level 7",$B$2="R&amp;T Level 7"),G51&lt;&gt;""),$C51*Thresholds_Rates!$F$17,IF(SUMIF(Grades!$A:$A,$B$2,Grades!$BQ:$BQ)=1,$C51*Thresholds_Rates!$F$17,"")))))))))</f>
        <v/>
      </c>
      <c r="I51" s="81" t="str">
        <f ca="1">IF($B51="","",ROUND(($C51-(Thresholds_Rates!$C$5*12))*Thresholds_Rates!$C$10,0))</f>
        <v/>
      </c>
      <c r="J51" s="81" t="str">
        <f ca="1">IF(B51="","",(C51*Thresholds_Rates!$C$12))</f>
        <v/>
      </c>
      <c r="K51" s="81" t="str">
        <f ca="1">IF(B51="","",IF(AND($B$2="Salary Points 3 to 57",B51&gt;Thresholds_Rates!$C$17),"-",IF(SUMIF(Grades!$A:$A,$B$2,Grades!$BR:$BR)=0,"-",IF(AND($B$2="Salary Points 3 to 57",B51&lt;=Thresholds_Rates!$C$17),$C51*Thresholds_Rates!$F$18,IF(AND(OR($B$2="New Consultant Contract"),$B51&lt;&gt;""),$C51*Thresholds_Rates!$F$18,IF(AND(OR($B$2="Clinical Lecturer / Medical Research Fellow",$B$2="Clinical Consultant - Old Contract (GP)"),$B51&lt;&gt;""),$C51*Thresholds_Rates!$F$18,IF(AND(OR($B$2="APM Level 7",$B$2="R&amp;T Level 7"),I51&lt;&gt;""),$C51*Thresholds_Rates!$F$18,IF(SUMIF(Grades!$A:$A,$B$2,Grades!$BQ:$BQ)=1,$C51*Thresholds_Rates!$F$18,""))))))))</f>
        <v/>
      </c>
      <c r="L51" s="68"/>
      <c r="M51" s="81" t="str">
        <f t="shared" ca="1" si="0"/>
        <v/>
      </c>
      <c r="N51" s="81" t="str">
        <f t="shared" ca="1" si="1"/>
        <v/>
      </c>
      <c r="O51" s="81" t="str">
        <f t="shared" ca="1" si="2"/>
        <v/>
      </c>
      <c r="P51" s="81" t="str">
        <f t="shared" ca="1" si="3"/>
        <v/>
      </c>
      <c r="Q51" s="81" t="str">
        <f t="shared" ca="1" si="4"/>
        <v/>
      </c>
      <c r="S51" s="83" t="str">
        <f ca="1">IF(B51="","",IF($B$2="R&amp;T Level 5 - Clinical Lecturers (Vet School)",SUMIF('Points Lookup'!$V:$V,$B51,'Points Lookup'!$W:$W),IF($B$2="R&amp;T Level 6 - Clinical Associate Professors and Clinical Readers (Vet School)",SUMIF('Points Lookup'!$AC:$AC,$B51,'Points Lookup'!$AD:$AD),"")))</f>
        <v/>
      </c>
      <c r="T51" s="84" t="str">
        <f ca="1">IF(B51="","",IF($B$2="R&amp;T Level 5 - Clinical Lecturers (Vet School)",$C51-SUMIF('Points Lookup'!$V:$V,$B51,'Points Lookup'!$X:$X),IF($B$2="R&amp;T Level 6 - Clinical Associate Professors and Clinical Readers (Vet School)",$C51-SUMIF('Points Lookup'!$AC:$AC,$B51,'Points Lookup'!$AE:$AE),"")))</f>
        <v/>
      </c>
      <c r="U51" s="83" t="str">
        <f ca="1">IF(B51="","",IF($B$2="R&amp;T Level 5 - Clinical Lecturers (Vet School)",SUMIF('Points Lookup'!$V:$V,$B51,'Points Lookup'!$Z:$Z),IF($B$2="R&amp;T Level 6 - Clinical Associate Professors and Clinical Readers (Vet School)",SUMIF('Points Lookup'!$AC:$AC,$B51,'Points Lookup'!$AG:$AG),"")))</f>
        <v/>
      </c>
      <c r="V51" s="84" t="str">
        <f t="shared" ca="1" si="5"/>
        <v/>
      </c>
      <c r="AA51" s="39">
        <v>45</v>
      </c>
    </row>
    <row r="52" spans="2:27" x14ac:dyDescent="0.25">
      <c r="B52" s="68" t="str">
        <f ca="1">IFERROR(INDEX('Points Lookup'!$A:$A,MATCH($AA52,'Points Lookup'!$AN:$AN,0)),"")</f>
        <v/>
      </c>
      <c r="C52" s="81" t="str">
        <f ca="1">IF(B52="","",IF($B$2="Apprenticeship",SUMIF('Points Lookup'!$AJ:$AJ,B52,'Points Lookup'!$AL:$AL),IF(AND(OR($B$2="New Consultant Contract"),$B52&lt;&gt;""),INDEX('Points Lookup'!$T:$T,MATCH($B52,'Points Lookup'!$S:$S,0)),IF(AND(OR($B$2="Clinical Lecturer / Medical Research Fellow",$B$2="Clinical Consultant - Old Contract (GP)"),$B52&lt;&gt;""),INDEX('Points Lookup'!$Q:$Q,MATCH($B52,'Points Lookup'!$P:$P,0)),IF(AND(OR($B$2="APM Level 7",$B$2="R&amp;T Level 7",$B$2="APM Level 8",$B$2="Technical Services Level 7"),B52&lt;&gt;""),INDEX('Points Lookup'!$H:$H,MATCH($AA52,'Points Lookup'!$AN:$AN,0)),IF($B$2="R&amp;T Level 5 - Clinical Lecturers (Vet School)",SUMIF('Points Lookup'!$V:$V,$B52,'Points Lookup'!$Y:$Y),IF($B$2="R&amp;T Level 6 - Clinical Associate Professors and Clinical Readers (Vet School)",SUMIF('Points Lookup'!$AC:$AC,$B52,'Points Lookup'!$AF:$AF),IFERROR(INDEX('Points Lookup'!$B:$B,MATCH($AA52,'Points Lookup'!$AN:$AN,0)),""))))))))</f>
        <v/>
      </c>
      <c r="D52" s="82" t="str">
        <f ca="1">IF(B52="","",IF(AND($B$3="Y",B52&lt;7),VLOOKUP($B52,Thresholds_Rates!$I$15:$J$18,2,FALSE),"-"))</f>
        <v/>
      </c>
      <c r="E52" s="81"/>
      <c r="F52" s="81" t="str">
        <f ca="1">IF($B52="","",IF(AND($B$2="Salary Points 3 to 57",B52&lt;Thresholds_Rates!$C$16),"-",IF(SUMIF(Grades!$A:$A,$B$2,Grades!$BO:$BO)=0,"-",IF(AND($B$2="Salary Points 3 to 57",B52&gt;=Thresholds_Rates!$C$16),$C52*Thresholds_Rates!$F$15,IF(AND(OR($B$2="New Consultant Contract"),$B52&lt;&gt;""),$C52*Thresholds_Rates!$F$15,IF(AND(OR($B$2="Clinical Lecturer / Medical Research Fellow",$B$2="Clinical Consultant - Old Contract (GP)"),$B52&lt;&gt;""),$C52*Thresholds_Rates!$F$15,IF(OR($B$2="APM Level 7",$B$2="R&amp;T Level 7"),$C52*Thresholds_Rates!$F$15,IF(SUMIF(Grades!$A:$A,$B$2,Grades!$BO:$BO)=1,$C52*Thresholds_Rates!$F$15,""))))))))</f>
        <v/>
      </c>
      <c r="G52" s="81" t="str">
        <f ca="1">IF(B52="","",IF($B$2="Salary Points 3 to 57","-",IF(SUMIF(Grades!$A:$A,$B$2,Grades!$BP:$BP)=0,"-",IF(AND(OR($B$2="New Consultant Contract"),$B52&lt;&gt;""),$C52*Thresholds_Rates!$F$16,IF(AND(OR($B$2="Clinical Lecturer / Medical Research Fellow",$B$2="Clinical Consultant - Old Contract (GP)"),$B52&lt;&gt;""),$C52*Thresholds_Rates!$F$16,IF(AND(OR($B$2="APM Level 7",$B$2="R&amp;T Level 7"),F52&lt;&gt;""),$C52*Thresholds_Rates!$F$16,IF(SUMIF(Grades!$A:$A,$B$2,Grades!$BP:$BP)=1,$C52*Thresholds_Rates!$F$16,"")))))))</f>
        <v/>
      </c>
      <c r="H52" s="81" t="str">
        <f ca="1">IF($B$2="Apprenticeship","-",IF(B52="","",IF(SUMIF(Grades!$A:$A,$B$2,Grades!$BQ:$BQ)=0,"-",IF(AND($B$2="Salary Points 3 to 57",B52&gt;Thresholds_Rates!$C$17),"-",IF(AND($B$2="Salary Points 3 to 57",B52&lt;=Thresholds_Rates!$C$17),$C52*Thresholds_Rates!$F$17,IF(AND(OR($B$2="New Consultant Contract"),$B52&lt;&gt;""),$C52*Thresholds_Rates!$F$17,IF(AND(OR($B$2="Clinical Lecturer / Medical Research Fellow",$B$2="Clinical Consultant - Old Contract (GP)"),$B52&lt;&gt;""),$C52*Thresholds_Rates!$F$17,IF(AND(OR($B$2="APM Level 7",$B$2="R&amp;T Level 7"),G52&lt;&gt;""),$C52*Thresholds_Rates!$F$17,IF(SUMIF(Grades!$A:$A,$B$2,Grades!$BQ:$BQ)=1,$C52*Thresholds_Rates!$F$17,"")))))))))</f>
        <v/>
      </c>
      <c r="I52" s="81" t="str">
        <f ca="1">IF($B52="","",ROUND(($C52-(Thresholds_Rates!$C$5*12))*Thresholds_Rates!$C$10,0))</f>
        <v/>
      </c>
      <c r="J52" s="81" t="str">
        <f ca="1">IF(B52="","",(C52*Thresholds_Rates!$C$12))</f>
        <v/>
      </c>
      <c r="K52" s="81" t="str">
        <f ca="1">IF(B52="","",IF(AND($B$2="Salary Points 3 to 57",B52&gt;Thresholds_Rates!$C$17),"-",IF(SUMIF(Grades!$A:$A,$B$2,Grades!$BR:$BR)=0,"-",IF(AND($B$2="Salary Points 3 to 57",B52&lt;=Thresholds_Rates!$C$17),$C52*Thresholds_Rates!$F$18,IF(AND(OR($B$2="New Consultant Contract"),$B52&lt;&gt;""),$C52*Thresholds_Rates!$F$18,IF(AND(OR($B$2="Clinical Lecturer / Medical Research Fellow",$B$2="Clinical Consultant - Old Contract (GP)"),$B52&lt;&gt;""),$C52*Thresholds_Rates!$F$18,IF(AND(OR($B$2="APM Level 7",$B$2="R&amp;T Level 7"),I52&lt;&gt;""),$C52*Thresholds_Rates!$F$18,IF(SUMIF(Grades!$A:$A,$B$2,Grades!$BQ:$BQ)=1,$C52*Thresholds_Rates!$F$18,""))))))))</f>
        <v/>
      </c>
      <c r="L52" s="68"/>
      <c r="M52" s="81" t="str">
        <f t="shared" ca="1" si="0"/>
        <v/>
      </c>
      <c r="N52" s="81" t="str">
        <f t="shared" ca="1" si="1"/>
        <v/>
      </c>
      <c r="O52" s="81" t="str">
        <f t="shared" ca="1" si="2"/>
        <v/>
      </c>
      <c r="P52" s="81" t="str">
        <f t="shared" ca="1" si="3"/>
        <v/>
      </c>
      <c r="Q52" s="81" t="str">
        <f t="shared" ca="1" si="4"/>
        <v/>
      </c>
      <c r="S52" s="83" t="str">
        <f ca="1">IF(B52="","",IF($B$2="R&amp;T Level 5 - Clinical Lecturers (Vet School)",SUMIF('Points Lookup'!$V:$V,$B52,'Points Lookup'!$W:$W),IF($B$2="R&amp;T Level 6 - Clinical Associate Professors and Clinical Readers (Vet School)",SUMIF('Points Lookup'!$AC:$AC,$B52,'Points Lookup'!$AD:$AD),"")))</f>
        <v/>
      </c>
      <c r="T52" s="84" t="str">
        <f ca="1">IF(B52="","",IF($B$2="R&amp;T Level 5 - Clinical Lecturers (Vet School)",$C52-SUMIF('Points Lookup'!$V:$V,$B52,'Points Lookup'!$X:$X),IF($B$2="R&amp;T Level 6 - Clinical Associate Professors and Clinical Readers (Vet School)",$C52-SUMIF('Points Lookup'!$AC:$AC,$B52,'Points Lookup'!$AE:$AE),"")))</f>
        <v/>
      </c>
      <c r="U52" s="83" t="str">
        <f ca="1">IF(B52="","",IF($B$2="R&amp;T Level 5 - Clinical Lecturers (Vet School)",SUMIF('Points Lookup'!$V:$V,$B52,'Points Lookup'!$Z:$Z),IF($B$2="R&amp;T Level 6 - Clinical Associate Professors and Clinical Readers (Vet School)",SUMIF('Points Lookup'!$AC:$AC,$B52,'Points Lookup'!$AG:$AG),"")))</f>
        <v/>
      </c>
      <c r="V52" s="84" t="str">
        <f t="shared" ca="1" si="5"/>
        <v/>
      </c>
      <c r="AA52" s="39">
        <v>46</v>
      </c>
    </row>
    <row r="53" spans="2:27" x14ac:dyDescent="0.25">
      <c r="B53" s="68" t="str">
        <f ca="1">IFERROR(INDEX('Points Lookup'!$A:$A,MATCH($AA53,'Points Lookup'!$AN:$AN,0)),"")</f>
        <v/>
      </c>
      <c r="C53" s="81" t="str">
        <f ca="1">IF(B53="","",IF($B$2="Apprenticeship",SUMIF('Points Lookup'!$AJ:$AJ,B53,'Points Lookup'!$AL:$AL),IF(AND(OR($B$2="New Consultant Contract"),$B53&lt;&gt;""),INDEX('Points Lookup'!$T:$T,MATCH($B53,'Points Lookup'!$S:$S,0)),IF(AND(OR($B$2="Clinical Lecturer / Medical Research Fellow",$B$2="Clinical Consultant - Old Contract (GP)"),$B53&lt;&gt;""),INDEX('Points Lookup'!$Q:$Q,MATCH($B53,'Points Lookup'!$P:$P,0)),IF(AND(OR($B$2="APM Level 7",$B$2="R&amp;T Level 7",$B$2="APM Level 8",$B$2="Technical Services Level 7"),B53&lt;&gt;""),INDEX('Points Lookup'!$H:$H,MATCH($AA53,'Points Lookup'!$AN:$AN,0)),IF($B$2="R&amp;T Level 5 - Clinical Lecturers (Vet School)",SUMIF('Points Lookup'!$V:$V,$B53,'Points Lookup'!$Y:$Y),IF($B$2="R&amp;T Level 6 - Clinical Associate Professors and Clinical Readers (Vet School)",SUMIF('Points Lookup'!$AC:$AC,$B53,'Points Lookup'!$AF:$AF),IFERROR(INDEX('Points Lookup'!$B:$B,MATCH($AA53,'Points Lookup'!$AN:$AN,0)),""))))))))</f>
        <v/>
      </c>
      <c r="D53" s="82" t="str">
        <f ca="1">IF(B53="","",IF(AND($B$3="Y",B53&lt;7),VLOOKUP($B53,Thresholds_Rates!$I$15:$J$18,2,FALSE),"-"))</f>
        <v/>
      </c>
      <c r="E53" s="81"/>
      <c r="F53" s="81" t="str">
        <f ca="1">IF($B53="","",IF(AND($B$2="Salary Points 3 to 57",B53&lt;Thresholds_Rates!$C$16),"-",IF(SUMIF(Grades!$A:$A,$B$2,Grades!$BO:$BO)=0,"-",IF(AND($B$2="Salary Points 3 to 57",B53&gt;=Thresholds_Rates!$C$16),$C53*Thresholds_Rates!$F$15,IF(AND(OR($B$2="New Consultant Contract"),$B53&lt;&gt;""),$C53*Thresholds_Rates!$F$15,IF(AND(OR($B$2="Clinical Lecturer / Medical Research Fellow",$B$2="Clinical Consultant - Old Contract (GP)"),$B53&lt;&gt;""),$C53*Thresholds_Rates!$F$15,IF(OR($B$2="APM Level 7",$B$2="R&amp;T Level 7"),$C53*Thresholds_Rates!$F$15,IF(SUMIF(Grades!$A:$A,$B$2,Grades!$BO:$BO)=1,$C53*Thresholds_Rates!$F$15,""))))))))</f>
        <v/>
      </c>
      <c r="G53" s="81" t="str">
        <f ca="1">IF(B53="","",IF($B$2="Salary Points 3 to 57","-",IF(SUMIF(Grades!$A:$A,$B$2,Grades!$BP:$BP)=0,"-",IF(AND(OR($B$2="New Consultant Contract"),$B53&lt;&gt;""),$C53*Thresholds_Rates!$F$16,IF(AND(OR($B$2="Clinical Lecturer / Medical Research Fellow",$B$2="Clinical Consultant - Old Contract (GP)"),$B53&lt;&gt;""),$C53*Thresholds_Rates!$F$16,IF(AND(OR($B$2="APM Level 7",$B$2="R&amp;T Level 7"),F53&lt;&gt;""),$C53*Thresholds_Rates!$F$16,IF(SUMIF(Grades!$A:$A,$B$2,Grades!$BP:$BP)=1,$C53*Thresholds_Rates!$F$16,"")))))))</f>
        <v/>
      </c>
      <c r="H53" s="81" t="str">
        <f ca="1">IF($B$2="Apprenticeship","-",IF(B53="","",IF(SUMIF(Grades!$A:$A,$B$2,Grades!$BQ:$BQ)=0,"-",IF(AND($B$2="Salary Points 3 to 57",B53&gt;Thresholds_Rates!$C$17),"-",IF(AND($B$2="Salary Points 3 to 57",B53&lt;=Thresholds_Rates!$C$17),$C53*Thresholds_Rates!$F$17,IF(AND(OR($B$2="New Consultant Contract"),$B53&lt;&gt;""),$C53*Thresholds_Rates!$F$17,IF(AND(OR($B$2="Clinical Lecturer / Medical Research Fellow",$B$2="Clinical Consultant - Old Contract (GP)"),$B53&lt;&gt;""),$C53*Thresholds_Rates!$F$17,IF(AND(OR($B$2="APM Level 7",$B$2="R&amp;T Level 7"),G53&lt;&gt;""),$C53*Thresholds_Rates!$F$17,IF(SUMIF(Grades!$A:$A,$B$2,Grades!$BQ:$BQ)=1,$C53*Thresholds_Rates!$F$17,"")))))))))</f>
        <v/>
      </c>
      <c r="I53" s="81" t="str">
        <f ca="1">IF($B53="","",ROUND(($C53-(Thresholds_Rates!$C$5*12))*Thresholds_Rates!$C$10,0))</f>
        <v/>
      </c>
      <c r="J53" s="81" t="str">
        <f ca="1">IF(B53="","",(C53*Thresholds_Rates!$C$12))</f>
        <v/>
      </c>
      <c r="K53" s="81" t="str">
        <f ca="1">IF(B53="","",IF(AND($B$2="Salary Points 3 to 57",B53&gt;Thresholds_Rates!$C$17),"-",IF(SUMIF(Grades!$A:$A,$B$2,Grades!$BR:$BR)=0,"-",IF(AND($B$2="Salary Points 3 to 57",B53&lt;=Thresholds_Rates!$C$17),$C53*Thresholds_Rates!$F$18,IF(AND(OR($B$2="New Consultant Contract"),$B53&lt;&gt;""),$C53*Thresholds_Rates!$F$18,IF(AND(OR($B$2="Clinical Lecturer / Medical Research Fellow",$B$2="Clinical Consultant - Old Contract (GP)"),$B53&lt;&gt;""),$C53*Thresholds_Rates!$F$18,IF(AND(OR($B$2="APM Level 7",$B$2="R&amp;T Level 7"),I53&lt;&gt;""),$C53*Thresholds_Rates!$F$18,IF(SUMIF(Grades!$A:$A,$B$2,Grades!$BQ:$BQ)=1,$C53*Thresholds_Rates!$F$18,""))))))))</f>
        <v/>
      </c>
      <c r="L53" s="68"/>
      <c r="M53" s="81" t="str">
        <f t="shared" ca="1" si="0"/>
        <v/>
      </c>
      <c r="N53" s="81" t="str">
        <f t="shared" ca="1" si="1"/>
        <v/>
      </c>
      <c r="O53" s="81" t="str">
        <f t="shared" ca="1" si="2"/>
        <v/>
      </c>
      <c r="P53" s="81" t="str">
        <f t="shared" ca="1" si="3"/>
        <v/>
      </c>
      <c r="Q53" s="81" t="str">
        <f t="shared" ca="1" si="4"/>
        <v/>
      </c>
      <c r="S53" s="83" t="str">
        <f ca="1">IF(B53="","",IF($B$2="R&amp;T Level 5 - Clinical Lecturers (Vet School)",SUMIF('Points Lookup'!$V:$V,$B53,'Points Lookup'!$W:$W),IF($B$2="R&amp;T Level 6 - Clinical Associate Professors and Clinical Readers (Vet School)",SUMIF('Points Lookup'!$AC:$AC,$B53,'Points Lookup'!$AD:$AD),"")))</f>
        <v/>
      </c>
      <c r="T53" s="84" t="str">
        <f ca="1">IF(B53="","",IF($B$2="R&amp;T Level 5 - Clinical Lecturers (Vet School)",$C53-SUMIF('Points Lookup'!$V:$V,$B53,'Points Lookup'!$X:$X),IF($B$2="R&amp;T Level 6 - Clinical Associate Professors and Clinical Readers (Vet School)",$C53-SUMIF('Points Lookup'!$AC:$AC,$B53,'Points Lookup'!$AE:$AE),"")))</f>
        <v/>
      </c>
      <c r="U53" s="83" t="str">
        <f ca="1">IF(B53="","",IF($B$2="R&amp;T Level 5 - Clinical Lecturers (Vet School)",SUMIF('Points Lookup'!$V:$V,$B53,'Points Lookup'!$Z:$Z),IF($B$2="R&amp;T Level 6 - Clinical Associate Professors and Clinical Readers (Vet School)",SUMIF('Points Lookup'!$AC:$AC,$B53,'Points Lookup'!$AG:$AG),"")))</f>
        <v/>
      </c>
      <c r="V53" s="84" t="str">
        <f t="shared" ca="1" si="5"/>
        <v/>
      </c>
      <c r="AA53" s="39">
        <v>47</v>
      </c>
    </row>
    <row r="54" spans="2:27" x14ac:dyDescent="0.25">
      <c r="B54" s="68" t="str">
        <f ca="1">IFERROR(INDEX('Points Lookup'!$A:$A,MATCH($AA54,'Points Lookup'!$AN:$AN,0)),"")</f>
        <v/>
      </c>
      <c r="C54" s="81" t="str">
        <f ca="1">IF(B54="","",IF($B$2="Apprenticeship",SUMIF('Points Lookup'!$AJ:$AJ,B54,'Points Lookup'!$AL:$AL),IF(AND(OR($B$2="New Consultant Contract"),$B54&lt;&gt;""),INDEX('Points Lookup'!$T:$T,MATCH($B54,'Points Lookup'!$S:$S,0)),IF(AND(OR($B$2="Clinical Lecturer / Medical Research Fellow",$B$2="Clinical Consultant - Old Contract (GP)"),$B54&lt;&gt;""),INDEX('Points Lookup'!$Q:$Q,MATCH($B54,'Points Lookup'!$P:$P,0)),IF(AND(OR($B$2="APM Level 7",$B$2="R&amp;T Level 7",$B$2="APM Level 8",$B$2="Technical Services Level 7"),B54&lt;&gt;""),INDEX('Points Lookup'!$H:$H,MATCH($AA54,'Points Lookup'!$AN:$AN,0)),IF($B$2="R&amp;T Level 5 - Clinical Lecturers (Vet School)",SUMIF('Points Lookup'!$V:$V,$B54,'Points Lookup'!$Y:$Y),IF($B$2="R&amp;T Level 6 - Clinical Associate Professors and Clinical Readers (Vet School)",SUMIF('Points Lookup'!$AC:$AC,$B54,'Points Lookup'!$AF:$AF),IFERROR(INDEX('Points Lookup'!$B:$B,MATCH($AA54,'Points Lookup'!$AN:$AN,0)),""))))))))</f>
        <v/>
      </c>
      <c r="D54" s="82" t="str">
        <f ca="1">IF(B54="","",IF(AND($B$3="Y",B54&lt;7),VLOOKUP($B54,Thresholds_Rates!$I$15:$J$18,2,FALSE),"-"))</f>
        <v/>
      </c>
      <c r="E54" s="81"/>
      <c r="F54" s="81" t="str">
        <f ca="1">IF($B54="","",IF(AND($B$2="Salary Points 3 to 57",B54&lt;Thresholds_Rates!$C$16),"-",IF(SUMIF(Grades!$A:$A,$B$2,Grades!$BO:$BO)=0,"-",IF(AND($B$2="Salary Points 3 to 57",B54&gt;=Thresholds_Rates!$C$16),$C54*Thresholds_Rates!$F$15,IF(AND(OR($B$2="New Consultant Contract"),$B54&lt;&gt;""),$C54*Thresholds_Rates!$F$15,IF(AND(OR($B$2="Clinical Lecturer / Medical Research Fellow",$B$2="Clinical Consultant - Old Contract (GP)"),$B54&lt;&gt;""),$C54*Thresholds_Rates!$F$15,IF(OR($B$2="APM Level 7",$B$2="R&amp;T Level 7"),$C54*Thresholds_Rates!$F$15,IF(SUMIF(Grades!$A:$A,$B$2,Grades!$BO:$BO)=1,$C54*Thresholds_Rates!$F$15,""))))))))</f>
        <v/>
      </c>
      <c r="G54" s="81" t="str">
        <f ca="1">IF(B54="","",IF($B$2="Salary Points 3 to 57","-",IF(SUMIF(Grades!$A:$A,$B$2,Grades!$BP:$BP)=0,"-",IF(AND(OR($B$2="New Consultant Contract"),$B54&lt;&gt;""),$C54*Thresholds_Rates!$F$16,IF(AND(OR($B$2="Clinical Lecturer / Medical Research Fellow",$B$2="Clinical Consultant - Old Contract (GP)"),$B54&lt;&gt;""),$C54*Thresholds_Rates!$F$16,IF(AND(OR($B$2="APM Level 7",$B$2="R&amp;T Level 7"),F54&lt;&gt;""),$C54*Thresholds_Rates!$F$16,IF(SUMIF(Grades!$A:$A,$B$2,Grades!$BP:$BP)=1,$C54*Thresholds_Rates!$F$16,"")))))))</f>
        <v/>
      </c>
      <c r="H54" s="81" t="str">
        <f ca="1">IF($B$2="Apprenticeship","-",IF(B54="","",IF(SUMIF(Grades!$A:$A,$B$2,Grades!$BQ:$BQ)=0,"-",IF(AND($B$2="Salary Points 3 to 57",B54&gt;Thresholds_Rates!$C$17),"-",IF(AND($B$2="Salary Points 3 to 57",B54&lt;=Thresholds_Rates!$C$17),$C54*Thresholds_Rates!$F$17,IF(AND(OR($B$2="New Consultant Contract"),$B54&lt;&gt;""),$C54*Thresholds_Rates!$F$17,IF(AND(OR($B$2="Clinical Lecturer / Medical Research Fellow",$B$2="Clinical Consultant - Old Contract (GP)"),$B54&lt;&gt;""),$C54*Thresholds_Rates!$F$17,IF(AND(OR($B$2="APM Level 7",$B$2="R&amp;T Level 7"),G54&lt;&gt;""),$C54*Thresholds_Rates!$F$17,IF(SUMIF(Grades!$A:$A,$B$2,Grades!$BQ:$BQ)=1,$C54*Thresholds_Rates!$F$17,"")))))))))</f>
        <v/>
      </c>
      <c r="I54" s="81" t="str">
        <f ca="1">IF($B54="","",ROUND(($C54-(Thresholds_Rates!$C$5*12))*Thresholds_Rates!$C$10,0))</f>
        <v/>
      </c>
      <c r="J54" s="81" t="str">
        <f ca="1">IF(B54="","",(C54*Thresholds_Rates!$C$12))</f>
        <v/>
      </c>
      <c r="K54" s="81" t="str">
        <f ca="1">IF(B54="","",IF(AND($B$2="Salary Points 3 to 57",B54&gt;Thresholds_Rates!$C$17),"-",IF(SUMIF(Grades!$A:$A,$B$2,Grades!$BR:$BR)=0,"-",IF(AND($B$2="Salary Points 3 to 57",B54&lt;=Thresholds_Rates!$C$17),$C54*Thresholds_Rates!$F$18,IF(AND(OR($B$2="New Consultant Contract"),$B54&lt;&gt;""),$C54*Thresholds_Rates!$F$18,IF(AND(OR($B$2="Clinical Lecturer / Medical Research Fellow",$B$2="Clinical Consultant - Old Contract (GP)"),$B54&lt;&gt;""),$C54*Thresholds_Rates!$F$18,IF(AND(OR($B$2="APM Level 7",$B$2="R&amp;T Level 7"),I54&lt;&gt;""),$C54*Thresholds_Rates!$F$18,IF(SUMIF(Grades!$A:$A,$B$2,Grades!$BQ:$BQ)=1,$C54*Thresholds_Rates!$F$18,""))))))))</f>
        <v/>
      </c>
      <c r="L54" s="68"/>
      <c r="M54" s="81" t="str">
        <f t="shared" ca="1" si="0"/>
        <v/>
      </c>
      <c r="N54" s="81" t="str">
        <f t="shared" ca="1" si="1"/>
        <v/>
      </c>
      <c r="O54" s="81" t="str">
        <f t="shared" ca="1" si="2"/>
        <v/>
      </c>
      <c r="P54" s="81" t="str">
        <f t="shared" ca="1" si="3"/>
        <v/>
      </c>
      <c r="Q54" s="81" t="str">
        <f t="shared" ca="1" si="4"/>
        <v/>
      </c>
      <c r="S54" s="83" t="str">
        <f ca="1">IF(B54="","",IF($B$2="R&amp;T Level 5 - Clinical Lecturers (Vet School)",SUMIF('Points Lookup'!$V:$V,$B54,'Points Lookup'!$W:$W),IF($B$2="R&amp;T Level 6 - Clinical Associate Professors and Clinical Readers (Vet School)",SUMIF('Points Lookup'!$AC:$AC,$B54,'Points Lookup'!$AD:$AD),"")))</f>
        <v/>
      </c>
      <c r="T54" s="84" t="str">
        <f ca="1">IF(B54="","",IF($B$2="R&amp;T Level 5 - Clinical Lecturers (Vet School)",$C54-SUMIF('Points Lookup'!$V:$V,$B54,'Points Lookup'!$X:$X),IF($B$2="R&amp;T Level 6 - Clinical Associate Professors and Clinical Readers (Vet School)",$C54-SUMIF('Points Lookup'!$AC:$AC,$B54,'Points Lookup'!$AE:$AE),"")))</f>
        <v/>
      </c>
      <c r="U54" s="83" t="str">
        <f ca="1">IF(B54="","",IF($B$2="R&amp;T Level 5 - Clinical Lecturers (Vet School)",SUMIF('Points Lookup'!$V:$V,$B54,'Points Lookup'!$Z:$Z),IF($B$2="R&amp;T Level 6 - Clinical Associate Professors and Clinical Readers (Vet School)",SUMIF('Points Lookup'!$AC:$AC,$B54,'Points Lookup'!$AG:$AG),"")))</f>
        <v/>
      </c>
      <c r="V54" s="84" t="str">
        <f t="shared" ca="1" si="5"/>
        <v/>
      </c>
      <c r="AA54" s="39">
        <v>48</v>
      </c>
    </row>
    <row r="55" spans="2:27" x14ac:dyDescent="0.25">
      <c r="B55" s="68" t="str">
        <f ca="1">IFERROR(INDEX('Points Lookup'!$A:$A,MATCH($AA55,'Points Lookup'!$AN:$AN,0)),"")</f>
        <v/>
      </c>
      <c r="C55" s="81" t="str">
        <f ca="1">IF(B55="","",IF($B$2="Apprenticeship",SUMIF('Points Lookup'!$AJ:$AJ,B55,'Points Lookup'!$AL:$AL),IF(AND(OR($B$2="New Consultant Contract"),$B55&lt;&gt;""),INDEX('Points Lookup'!$T:$T,MATCH($B55,'Points Lookup'!$S:$S,0)),IF(AND(OR($B$2="Clinical Lecturer / Medical Research Fellow",$B$2="Clinical Consultant - Old Contract (GP)"),$B55&lt;&gt;""),INDEX('Points Lookup'!$Q:$Q,MATCH($B55,'Points Lookup'!$P:$P,0)),IF(AND(OR($B$2="APM Level 7",$B$2="R&amp;T Level 7",$B$2="APM Level 8",$B$2="Technical Services Level 7"),B55&lt;&gt;""),INDEX('Points Lookup'!$H:$H,MATCH($AA55,'Points Lookup'!$AN:$AN,0)),IF($B$2="R&amp;T Level 5 - Clinical Lecturers (Vet School)",SUMIF('Points Lookup'!$V:$V,$B55,'Points Lookup'!$Y:$Y),IF($B$2="R&amp;T Level 6 - Clinical Associate Professors and Clinical Readers (Vet School)",SUMIF('Points Lookup'!$AC:$AC,$B55,'Points Lookup'!$AF:$AF),IFERROR(INDEX('Points Lookup'!$B:$B,MATCH($AA55,'Points Lookup'!$AN:$AN,0)),""))))))))</f>
        <v/>
      </c>
      <c r="D55" s="82" t="str">
        <f ca="1">IF(B55="","",IF(AND($B$3="Y",B55&lt;7),VLOOKUP($B55,Thresholds_Rates!$I$15:$J$18,2,FALSE),"-"))</f>
        <v/>
      </c>
      <c r="E55" s="81"/>
      <c r="F55" s="81" t="str">
        <f ca="1">IF($B55="","",IF(AND($B$2="Salary Points 3 to 57",B55&lt;Thresholds_Rates!$C$16),"-",IF(SUMIF(Grades!$A:$A,$B$2,Grades!$BO:$BO)=0,"-",IF(AND($B$2="Salary Points 3 to 57",B55&gt;=Thresholds_Rates!$C$16),$C55*Thresholds_Rates!$F$15,IF(AND(OR($B$2="New Consultant Contract"),$B55&lt;&gt;""),$C55*Thresholds_Rates!$F$15,IF(AND(OR($B$2="Clinical Lecturer / Medical Research Fellow",$B$2="Clinical Consultant - Old Contract (GP)"),$B55&lt;&gt;""),$C55*Thresholds_Rates!$F$15,IF(OR($B$2="APM Level 7",$B$2="R&amp;T Level 7"),$C55*Thresholds_Rates!$F$15,IF(SUMIF(Grades!$A:$A,$B$2,Grades!$BO:$BO)=1,$C55*Thresholds_Rates!$F$15,""))))))))</f>
        <v/>
      </c>
      <c r="G55" s="81" t="str">
        <f ca="1">IF(B55="","",IF($B$2="Salary Points 3 to 57","-",IF(SUMIF(Grades!$A:$A,$B$2,Grades!$BP:$BP)=0,"-",IF(AND(OR($B$2="New Consultant Contract"),$B55&lt;&gt;""),$C55*Thresholds_Rates!$F$16,IF(AND(OR($B$2="Clinical Lecturer / Medical Research Fellow",$B$2="Clinical Consultant - Old Contract (GP)"),$B55&lt;&gt;""),$C55*Thresholds_Rates!$F$16,IF(AND(OR($B$2="APM Level 7",$B$2="R&amp;T Level 7"),F55&lt;&gt;""),$C55*Thresholds_Rates!$F$16,IF(SUMIF(Grades!$A:$A,$B$2,Grades!$BP:$BP)=1,$C55*Thresholds_Rates!$F$16,"")))))))</f>
        <v/>
      </c>
      <c r="H55" s="81" t="str">
        <f ca="1">IF($B$2="Apprenticeship","-",IF(B55="","",IF(SUMIF(Grades!$A:$A,$B$2,Grades!$BQ:$BQ)=0,"-",IF(AND($B$2="Salary Points 3 to 57",B55&gt;Thresholds_Rates!$C$17),"-",IF(AND($B$2="Salary Points 3 to 57",B55&lt;=Thresholds_Rates!$C$17),$C55*Thresholds_Rates!$F$17,IF(AND(OR($B$2="New Consultant Contract"),$B55&lt;&gt;""),$C55*Thresholds_Rates!$F$17,IF(AND(OR($B$2="Clinical Lecturer / Medical Research Fellow",$B$2="Clinical Consultant - Old Contract (GP)"),$B55&lt;&gt;""),$C55*Thresholds_Rates!$F$17,IF(AND(OR($B$2="APM Level 7",$B$2="R&amp;T Level 7"),G55&lt;&gt;""),$C55*Thresholds_Rates!$F$17,IF(SUMIF(Grades!$A:$A,$B$2,Grades!$BQ:$BQ)=1,$C55*Thresholds_Rates!$F$17,"")))))))))</f>
        <v/>
      </c>
      <c r="I55" s="81" t="str">
        <f ca="1">IF($B55="","",ROUND(($C55-(Thresholds_Rates!$C$5*12))*Thresholds_Rates!$C$10,0))</f>
        <v/>
      </c>
      <c r="J55" s="81" t="str">
        <f ca="1">IF(B55="","",(C55*Thresholds_Rates!$C$12))</f>
        <v/>
      </c>
      <c r="K55" s="81" t="str">
        <f ca="1">IF(B55="","",IF(AND($B$2="Salary Points 3 to 57",B55&gt;Thresholds_Rates!$C$17),"-",IF(SUMIF(Grades!$A:$A,$B$2,Grades!$BR:$BR)=0,"-",IF(AND($B$2="Salary Points 3 to 57",B55&lt;=Thresholds_Rates!$C$17),$C55*Thresholds_Rates!$F$18,IF(AND(OR($B$2="New Consultant Contract"),$B55&lt;&gt;""),$C55*Thresholds_Rates!$F$18,IF(AND(OR($B$2="Clinical Lecturer / Medical Research Fellow",$B$2="Clinical Consultant - Old Contract (GP)"),$B55&lt;&gt;""),$C55*Thresholds_Rates!$F$18,IF(AND(OR($B$2="APM Level 7",$B$2="R&amp;T Level 7"),I55&lt;&gt;""),$C55*Thresholds_Rates!$F$18,IF(SUMIF(Grades!$A:$A,$B$2,Grades!$BQ:$BQ)=1,$C55*Thresholds_Rates!$F$18,""))))))))</f>
        <v/>
      </c>
      <c r="L55" s="68"/>
      <c r="M55" s="81" t="str">
        <f t="shared" ca="1" si="0"/>
        <v/>
      </c>
      <c r="N55" s="81" t="str">
        <f t="shared" ca="1" si="1"/>
        <v/>
      </c>
      <c r="O55" s="81" t="str">
        <f t="shared" ca="1" si="2"/>
        <v/>
      </c>
      <c r="P55" s="81" t="str">
        <f t="shared" ca="1" si="3"/>
        <v/>
      </c>
      <c r="Q55" s="81" t="str">
        <f t="shared" ca="1" si="4"/>
        <v/>
      </c>
      <c r="S55" s="83" t="str">
        <f ca="1">IF(B55="","",IF($B$2="R&amp;T Level 5 - Clinical Lecturers (Vet School)",SUMIF('Points Lookup'!$V:$V,$B55,'Points Lookup'!$W:$W),IF($B$2="R&amp;T Level 6 - Clinical Associate Professors and Clinical Readers (Vet School)",SUMIF('Points Lookup'!$AC:$AC,$B55,'Points Lookup'!$AD:$AD),"")))</f>
        <v/>
      </c>
      <c r="T55" s="84" t="str">
        <f ca="1">IF(B55="","",IF($B$2="R&amp;T Level 5 - Clinical Lecturers (Vet School)",$C55-SUMIF('Points Lookup'!$V:$V,$B55,'Points Lookup'!$X:$X),IF($B$2="R&amp;T Level 6 - Clinical Associate Professors and Clinical Readers (Vet School)",$C55-SUMIF('Points Lookup'!$AC:$AC,$B55,'Points Lookup'!$AE:$AE),"")))</f>
        <v/>
      </c>
      <c r="U55" s="83" t="str">
        <f ca="1">IF(B55="","",IF($B$2="R&amp;T Level 5 - Clinical Lecturers (Vet School)",SUMIF('Points Lookup'!$V:$V,$B55,'Points Lookup'!$Z:$Z),IF($B$2="R&amp;T Level 6 - Clinical Associate Professors and Clinical Readers (Vet School)",SUMIF('Points Lookup'!$AC:$AC,$B55,'Points Lookup'!$AG:$AG),"")))</f>
        <v/>
      </c>
      <c r="V55" s="84" t="str">
        <f t="shared" ca="1" si="5"/>
        <v/>
      </c>
      <c r="AA55" s="39">
        <v>49</v>
      </c>
    </row>
    <row r="56" spans="2:27" x14ac:dyDescent="0.25">
      <c r="B56" s="68" t="str">
        <f ca="1">IFERROR(INDEX('Points Lookup'!$A:$A,MATCH($AA56,'Points Lookup'!$AN:$AN,0)),"")</f>
        <v/>
      </c>
      <c r="C56" s="81" t="str">
        <f ca="1">IF(B56="","",IF($B$2="Apprenticeship",SUMIF('Points Lookup'!$AJ:$AJ,B56,'Points Lookup'!$AL:$AL),IF(AND(OR($B$2="New Consultant Contract"),$B56&lt;&gt;""),INDEX('Points Lookup'!$T:$T,MATCH($B56,'Points Lookup'!$S:$S,0)),IF(AND(OR($B$2="Clinical Lecturer / Medical Research Fellow",$B$2="Clinical Consultant - Old Contract (GP)"),$B56&lt;&gt;""),INDEX('Points Lookup'!$Q:$Q,MATCH($B56,'Points Lookup'!$P:$P,0)),IF(AND(OR($B$2="APM Level 7",$B$2="R&amp;T Level 7",$B$2="APM Level 8",$B$2="Technical Services Level 7"),B56&lt;&gt;""),INDEX('Points Lookup'!$H:$H,MATCH($AA56,'Points Lookup'!$AN:$AN,0)),IF($B$2="R&amp;T Level 5 - Clinical Lecturers (Vet School)",SUMIF('Points Lookup'!$V:$V,$B56,'Points Lookup'!$Y:$Y),IF($B$2="R&amp;T Level 6 - Clinical Associate Professors and Clinical Readers (Vet School)",SUMIF('Points Lookup'!$AC:$AC,$B56,'Points Lookup'!$AF:$AF),IFERROR(INDEX('Points Lookup'!$B:$B,MATCH($AA56,'Points Lookup'!$AN:$AN,0)),""))))))))</f>
        <v/>
      </c>
      <c r="D56" s="82" t="str">
        <f ca="1">IF(B56="","",IF(AND($B$3="Y",B56&lt;7),VLOOKUP($B56,Thresholds_Rates!$I$15:$J$18,2,FALSE),"-"))</f>
        <v/>
      </c>
      <c r="E56" s="81"/>
      <c r="F56" s="81" t="str">
        <f ca="1">IF($B56="","",IF(AND($B$2="Salary Points 3 to 57",B56&lt;Thresholds_Rates!$C$16),"-",IF(SUMIF(Grades!$A:$A,$B$2,Grades!$BO:$BO)=0,"-",IF(AND($B$2="Salary Points 3 to 57",B56&gt;=Thresholds_Rates!$C$16),$C56*Thresholds_Rates!$F$15,IF(AND(OR($B$2="New Consultant Contract"),$B56&lt;&gt;""),$C56*Thresholds_Rates!$F$15,IF(AND(OR($B$2="Clinical Lecturer / Medical Research Fellow",$B$2="Clinical Consultant - Old Contract (GP)"),$B56&lt;&gt;""),$C56*Thresholds_Rates!$F$15,IF(OR($B$2="APM Level 7",$B$2="R&amp;T Level 7"),$C56*Thresholds_Rates!$F$15,IF(SUMIF(Grades!$A:$A,$B$2,Grades!$BO:$BO)=1,$C56*Thresholds_Rates!$F$15,""))))))))</f>
        <v/>
      </c>
      <c r="G56" s="81" t="str">
        <f ca="1">IF(B56="","",IF($B$2="Salary Points 3 to 57","-",IF(SUMIF(Grades!$A:$A,$B$2,Grades!$BP:$BP)=0,"-",IF(AND(OR($B$2="New Consultant Contract"),$B56&lt;&gt;""),$C56*Thresholds_Rates!$F$16,IF(AND(OR($B$2="Clinical Lecturer / Medical Research Fellow",$B$2="Clinical Consultant - Old Contract (GP)"),$B56&lt;&gt;""),$C56*Thresholds_Rates!$F$16,IF(AND(OR($B$2="APM Level 7",$B$2="R&amp;T Level 7"),F56&lt;&gt;""),$C56*Thresholds_Rates!$F$16,IF(SUMIF(Grades!$A:$A,$B$2,Grades!$BP:$BP)=1,$C56*Thresholds_Rates!$F$16,"")))))))</f>
        <v/>
      </c>
      <c r="H56" s="81" t="str">
        <f ca="1">IF($B$2="Apprenticeship","-",IF(B56="","",IF(SUMIF(Grades!$A:$A,$B$2,Grades!$BQ:$BQ)=0,"-",IF(AND($B$2="Salary Points 3 to 57",B56&gt;Thresholds_Rates!$C$17),"-",IF(AND($B$2="Salary Points 3 to 57",B56&lt;=Thresholds_Rates!$C$17),$C56*Thresholds_Rates!$F$17,IF(AND(OR($B$2="New Consultant Contract"),$B56&lt;&gt;""),$C56*Thresholds_Rates!$F$17,IF(AND(OR($B$2="Clinical Lecturer / Medical Research Fellow",$B$2="Clinical Consultant - Old Contract (GP)"),$B56&lt;&gt;""),$C56*Thresholds_Rates!$F$17,IF(AND(OR($B$2="APM Level 7",$B$2="R&amp;T Level 7"),G56&lt;&gt;""),$C56*Thresholds_Rates!$F$17,IF(SUMIF(Grades!$A:$A,$B$2,Grades!$BQ:$BQ)=1,$C56*Thresholds_Rates!$F$17,"")))))))))</f>
        <v/>
      </c>
      <c r="I56" s="81" t="str">
        <f ca="1">IF($B56="","",ROUND(($C56-(Thresholds_Rates!$C$5*12))*Thresholds_Rates!$C$10,0))</f>
        <v/>
      </c>
      <c r="J56" s="81" t="str">
        <f ca="1">IF(B56="","",(C56*Thresholds_Rates!$C$12))</f>
        <v/>
      </c>
      <c r="K56" s="81" t="str">
        <f ca="1">IF(B56="","",IF(AND($B$2="Salary Points 3 to 57",B56&gt;Thresholds_Rates!$C$17),"-",IF(SUMIF(Grades!$A:$A,$B$2,Grades!$BR:$BR)=0,"-",IF(AND($B$2="Salary Points 3 to 57",B56&lt;=Thresholds_Rates!$C$17),$C56*Thresholds_Rates!$F$18,IF(AND(OR($B$2="New Consultant Contract"),$B56&lt;&gt;""),$C56*Thresholds_Rates!$F$18,IF(AND(OR($B$2="Clinical Lecturer / Medical Research Fellow",$B$2="Clinical Consultant - Old Contract (GP)"),$B56&lt;&gt;""),$C56*Thresholds_Rates!$F$18,IF(AND(OR($B$2="APM Level 7",$B$2="R&amp;T Level 7"),I56&lt;&gt;""),$C56*Thresholds_Rates!$F$18,IF(SUMIF(Grades!$A:$A,$B$2,Grades!$BQ:$BQ)=1,$C56*Thresholds_Rates!$F$18,""))))))))</f>
        <v/>
      </c>
      <c r="L56" s="68"/>
      <c r="M56" s="81" t="str">
        <f t="shared" ca="1" si="0"/>
        <v/>
      </c>
      <c r="N56" s="81" t="str">
        <f t="shared" ca="1" si="1"/>
        <v/>
      </c>
      <c r="O56" s="81" t="str">
        <f t="shared" ca="1" si="2"/>
        <v/>
      </c>
      <c r="P56" s="81" t="str">
        <f t="shared" ca="1" si="3"/>
        <v/>
      </c>
      <c r="Q56" s="81" t="str">
        <f t="shared" ca="1" si="4"/>
        <v/>
      </c>
      <c r="S56" s="83" t="str">
        <f ca="1">IF(B56="","",IF($B$2="R&amp;T Level 5 - Clinical Lecturers (Vet School)",SUMIF('Points Lookup'!$V:$V,$B56,'Points Lookup'!$W:$W),IF($B$2="R&amp;T Level 6 - Clinical Associate Professors and Clinical Readers (Vet School)",SUMIF('Points Lookup'!$AC:$AC,$B56,'Points Lookup'!$AD:$AD),"")))</f>
        <v/>
      </c>
      <c r="T56" s="84" t="str">
        <f ca="1">IF(B56="","",IF($B$2="R&amp;T Level 5 - Clinical Lecturers (Vet School)",$C56-SUMIF('Points Lookup'!$V:$V,$B56,'Points Lookup'!$X:$X),IF($B$2="R&amp;T Level 6 - Clinical Associate Professors and Clinical Readers (Vet School)",$C56-SUMIF('Points Lookup'!$AC:$AC,$B56,'Points Lookup'!$AE:$AE),"")))</f>
        <v/>
      </c>
      <c r="U56" s="83" t="str">
        <f ca="1">IF(B56="","",IF($B$2="R&amp;T Level 5 - Clinical Lecturers (Vet School)",SUMIF('Points Lookup'!$V:$V,$B56,'Points Lookup'!$Z:$Z),IF($B$2="R&amp;T Level 6 - Clinical Associate Professors and Clinical Readers (Vet School)",SUMIF('Points Lookup'!$AC:$AC,$B56,'Points Lookup'!$AG:$AG),"")))</f>
        <v/>
      </c>
      <c r="V56" s="84" t="str">
        <f t="shared" ca="1" si="5"/>
        <v/>
      </c>
      <c r="AA56" s="39">
        <v>50</v>
      </c>
    </row>
    <row r="57" spans="2:27" x14ac:dyDescent="0.25">
      <c r="B57" s="68" t="str">
        <f ca="1">IFERROR(INDEX('Points Lookup'!$A:$A,MATCH($AA57,'Points Lookup'!$AN:$AN,0)),"")</f>
        <v/>
      </c>
      <c r="C57" s="81" t="str">
        <f ca="1">IF(B57="","",IF($B$2="Apprenticeship",SUMIF('Points Lookup'!$AJ:$AJ,B57,'Points Lookup'!$AL:$AL),IF(AND(OR($B$2="New Consultant Contract"),$B57&lt;&gt;""),INDEX('Points Lookup'!$T:$T,MATCH($B57,'Points Lookup'!$S:$S,0)),IF(AND(OR($B$2="Clinical Lecturer / Medical Research Fellow",$B$2="Clinical Consultant - Old Contract (GP)"),$B57&lt;&gt;""),INDEX('Points Lookup'!$Q:$Q,MATCH($B57,'Points Lookup'!$P:$P,0)),IF(AND(OR($B$2="APM Level 7",$B$2="R&amp;T Level 7",$B$2="APM Level 8",$B$2="Technical Services Level 7"),B57&lt;&gt;""),INDEX('Points Lookup'!$H:$H,MATCH($AA57,'Points Lookup'!$AN:$AN,0)),IF($B$2="R&amp;T Level 5 - Clinical Lecturers (Vet School)",SUMIF('Points Lookup'!$V:$V,$B57,'Points Lookup'!$Y:$Y),IF($B$2="R&amp;T Level 6 - Clinical Associate Professors and Clinical Readers (Vet School)",SUMIF('Points Lookup'!$AC:$AC,$B57,'Points Lookup'!$AF:$AF),IFERROR(INDEX('Points Lookup'!$B:$B,MATCH($AA57,'Points Lookup'!$AN:$AN,0)),""))))))))</f>
        <v/>
      </c>
      <c r="D57" s="82" t="str">
        <f ca="1">IF(B57="","",IF(AND($B$3="Y",B57&lt;7),VLOOKUP($B57,Thresholds_Rates!$I$15:$J$18,2,FALSE),"-"))</f>
        <v/>
      </c>
      <c r="E57" s="81"/>
      <c r="F57" s="81" t="str">
        <f ca="1">IF($B57="","",IF(AND($B$2="Salary Points 3 to 57",B57&lt;Thresholds_Rates!$C$16),"-",IF(SUMIF(Grades!$A:$A,$B$2,Grades!$BO:$BO)=0,"-",IF(AND($B$2="Salary Points 3 to 57",B57&gt;=Thresholds_Rates!$C$16),$C57*Thresholds_Rates!$F$15,IF(AND(OR($B$2="New Consultant Contract"),$B57&lt;&gt;""),$C57*Thresholds_Rates!$F$15,IF(AND(OR($B$2="Clinical Lecturer / Medical Research Fellow",$B$2="Clinical Consultant - Old Contract (GP)"),$B57&lt;&gt;""),$C57*Thresholds_Rates!$F$15,IF(OR($B$2="APM Level 7",$B$2="R&amp;T Level 7"),$C57*Thresholds_Rates!$F$15,IF(SUMIF(Grades!$A:$A,$B$2,Grades!$BO:$BO)=1,$C57*Thresholds_Rates!$F$15,""))))))))</f>
        <v/>
      </c>
      <c r="G57" s="81" t="str">
        <f ca="1">IF(B57="","",IF($B$2="Salary Points 3 to 57","-",IF(SUMIF(Grades!$A:$A,$B$2,Grades!$BP:$BP)=0,"-",IF(AND(OR($B$2="New Consultant Contract"),$B57&lt;&gt;""),$C57*Thresholds_Rates!$F$16,IF(AND(OR($B$2="Clinical Lecturer / Medical Research Fellow",$B$2="Clinical Consultant - Old Contract (GP)"),$B57&lt;&gt;""),$C57*Thresholds_Rates!$F$16,IF(AND(OR($B$2="APM Level 7",$B$2="R&amp;T Level 7"),F57&lt;&gt;""),$C57*Thresholds_Rates!$F$16,IF(SUMIF(Grades!$A:$A,$B$2,Grades!$BP:$BP)=1,$C57*Thresholds_Rates!$F$16,"")))))))</f>
        <v/>
      </c>
      <c r="H57" s="81" t="str">
        <f ca="1">IF($B$2="Apprenticeship","-",IF(B57="","",IF(SUMIF(Grades!$A:$A,$B$2,Grades!$BQ:$BQ)=0,"-",IF(AND($B$2="Salary Points 3 to 57",B57&gt;Thresholds_Rates!$C$17),"-",IF(AND($B$2="Salary Points 3 to 57",B57&lt;=Thresholds_Rates!$C$17),$C57*Thresholds_Rates!$F$17,IF(AND(OR($B$2="New Consultant Contract"),$B57&lt;&gt;""),$C57*Thresholds_Rates!$F$17,IF(AND(OR($B$2="Clinical Lecturer / Medical Research Fellow",$B$2="Clinical Consultant - Old Contract (GP)"),$B57&lt;&gt;""),$C57*Thresholds_Rates!$F$17,IF(AND(OR($B$2="APM Level 7",$B$2="R&amp;T Level 7"),G57&lt;&gt;""),$C57*Thresholds_Rates!$F$17,IF(SUMIF(Grades!$A:$A,$B$2,Grades!$BQ:$BQ)=1,$C57*Thresholds_Rates!$F$17,"")))))))))</f>
        <v/>
      </c>
      <c r="I57" s="81" t="str">
        <f ca="1">IF($B57="","",ROUND(($C57-(Thresholds_Rates!$C$5*12))*Thresholds_Rates!$C$10,0))</f>
        <v/>
      </c>
      <c r="J57" s="81" t="str">
        <f ca="1">IF(B57="","",(C57*Thresholds_Rates!$C$12))</f>
        <v/>
      </c>
      <c r="K57" s="81" t="str">
        <f ca="1">IF(B57="","",IF(AND($B$2="Salary Points 3 to 57",B57&gt;Thresholds_Rates!$C$17),"-",IF(SUMIF(Grades!$A:$A,$B$2,Grades!$BR:$BR)=0,"-",IF(AND($B$2="Salary Points 3 to 57",B57&lt;=Thresholds_Rates!$C$17),$C57*Thresholds_Rates!$F$18,IF(AND(OR($B$2="New Consultant Contract"),$B57&lt;&gt;""),$C57*Thresholds_Rates!$F$18,IF(AND(OR($B$2="Clinical Lecturer / Medical Research Fellow",$B$2="Clinical Consultant - Old Contract (GP)"),$B57&lt;&gt;""),$C57*Thresholds_Rates!$F$18,IF(AND(OR($B$2="APM Level 7",$B$2="R&amp;T Level 7"),I57&lt;&gt;""),$C57*Thresholds_Rates!$F$18,IF(SUMIF(Grades!$A:$A,$B$2,Grades!$BQ:$BQ)=1,$C57*Thresholds_Rates!$F$18,""))))))))</f>
        <v/>
      </c>
      <c r="L57" s="68"/>
      <c r="M57" s="81" t="str">
        <f t="shared" ca="1" si="0"/>
        <v/>
      </c>
      <c r="N57" s="81" t="str">
        <f t="shared" ca="1" si="1"/>
        <v/>
      </c>
      <c r="O57" s="81" t="str">
        <f t="shared" ca="1" si="2"/>
        <v/>
      </c>
      <c r="P57" s="81" t="str">
        <f t="shared" ca="1" si="3"/>
        <v/>
      </c>
      <c r="Q57" s="81" t="str">
        <f t="shared" ca="1" si="4"/>
        <v/>
      </c>
      <c r="S57" s="83" t="str">
        <f ca="1">IF(B57="","",IF($B$2="R&amp;T Level 5 - Clinical Lecturers (Vet School)",SUMIF('Points Lookup'!$V:$V,$B57,'Points Lookup'!$W:$W),IF($B$2="R&amp;T Level 6 - Clinical Associate Professors and Clinical Readers (Vet School)",SUMIF('Points Lookup'!$AC:$AC,$B57,'Points Lookup'!$AD:$AD),"")))</f>
        <v/>
      </c>
      <c r="T57" s="84" t="str">
        <f ca="1">IF(B57="","",IF($B$2="R&amp;T Level 5 - Clinical Lecturers (Vet School)",$C57-SUMIF('Points Lookup'!$V:$V,$B57,'Points Lookup'!$X:$X),IF($B$2="R&amp;T Level 6 - Clinical Associate Professors and Clinical Readers (Vet School)",$C57-SUMIF('Points Lookup'!$AC:$AC,$B57,'Points Lookup'!$AE:$AE),"")))</f>
        <v/>
      </c>
      <c r="U57" s="83" t="str">
        <f ca="1">IF(B57="","",IF($B$2="R&amp;T Level 5 - Clinical Lecturers (Vet School)",SUMIF('Points Lookup'!$V:$V,$B57,'Points Lookup'!$Z:$Z),IF($B$2="R&amp;T Level 6 - Clinical Associate Professors and Clinical Readers (Vet School)",SUMIF('Points Lookup'!$AC:$AC,$B57,'Points Lookup'!$AG:$AG),"")))</f>
        <v/>
      </c>
      <c r="V57" s="84" t="str">
        <f t="shared" ca="1" si="5"/>
        <v/>
      </c>
      <c r="AA57" s="39">
        <v>51</v>
      </c>
    </row>
    <row r="58" spans="2:27" x14ac:dyDescent="0.25">
      <c r="B58" s="68" t="str">
        <f ca="1">IFERROR(INDEX('Points Lookup'!$A:$A,MATCH($AA58,'Points Lookup'!$AN:$AN,0)),"")</f>
        <v/>
      </c>
      <c r="C58" s="81" t="str">
        <f ca="1">IF(B58="","",IF($B$2="Apprenticeship",SUMIF('Points Lookup'!$AJ:$AJ,B58,'Points Lookup'!$AL:$AL),IF(AND(OR($B$2="New Consultant Contract"),$B58&lt;&gt;""),INDEX('Points Lookup'!$T:$T,MATCH($B58,'Points Lookup'!$S:$S,0)),IF(AND(OR($B$2="Clinical Lecturer / Medical Research Fellow",$B$2="Clinical Consultant - Old Contract (GP)"),$B58&lt;&gt;""),INDEX('Points Lookup'!$Q:$Q,MATCH($B58,'Points Lookup'!$P:$P,0)),IF(AND(OR($B$2="APM Level 7",$B$2="R&amp;T Level 7",$B$2="APM Level 8",$B$2="Technical Services Level 7"),B58&lt;&gt;""),INDEX('Points Lookup'!$H:$H,MATCH($AA58,'Points Lookup'!$AN:$AN,0)),IF($B$2="R&amp;T Level 5 - Clinical Lecturers (Vet School)",SUMIF('Points Lookup'!$V:$V,$B58,'Points Lookup'!$Y:$Y),IF($B$2="R&amp;T Level 6 - Clinical Associate Professors and Clinical Readers (Vet School)",SUMIF('Points Lookup'!$AC:$AC,$B58,'Points Lookup'!$AF:$AF),IFERROR(INDEX('Points Lookup'!$B:$B,MATCH($AA58,'Points Lookup'!$AN:$AN,0)),""))))))))</f>
        <v/>
      </c>
      <c r="D58" s="82" t="str">
        <f ca="1">IF(B58="","",IF(AND($B$3="Y",B58&lt;7),VLOOKUP($B58,Thresholds_Rates!$I$15:$J$18,2,FALSE),"-"))</f>
        <v/>
      </c>
      <c r="E58" s="81"/>
      <c r="F58" s="81" t="str">
        <f ca="1">IF($B58="","",IF(AND($B$2="Salary Points 3 to 57",B58&lt;Thresholds_Rates!$C$16),"-",IF(SUMIF(Grades!$A:$A,$B$2,Grades!$BO:$BO)=0,"-",IF(AND($B$2="Salary Points 3 to 57",B58&gt;=Thresholds_Rates!$C$16),$C58*Thresholds_Rates!$F$15,IF(AND(OR($B$2="New Consultant Contract"),$B58&lt;&gt;""),$C58*Thresholds_Rates!$F$15,IF(AND(OR($B$2="Clinical Lecturer / Medical Research Fellow",$B$2="Clinical Consultant - Old Contract (GP)"),$B58&lt;&gt;""),$C58*Thresholds_Rates!$F$15,IF(OR($B$2="APM Level 7",$B$2="R&amp;T Level 7"),$C58*Thresholds_Rates!$F$15,IF(SUMIF(Grades!$A:$A,$B$2,Grades!$BO:$BO)=1,$C58*Thresholds_Rates!$F$15,""))))))))</f>
        <v/>
      </c>
      <c r="G58" s="81" t="str">
        <f ca="1">IF(B58="","",IF($B$2="Salary Points 3 to 57","-",IF(SUMIF(Grades!$A:$A,$B$2,Grades!$BP:$BP)=0,"-",IF(AND(OR($B$2="New Consultant Contract"),$B58&lt;&gt;""),$C58*Thresholds_Rates!$F$16,IF(AND(OR($B$2="Clinical Lecturer / Medical Research Fellow",$B$2="Clinical Consultant - Old Contract (GP)"),$B58&lt;&gt;""),$C58*Thresholds_Rates!$F$16,IF(AND(OR($B$2="APM Level 7",$B$2="R&amp;T Level 7"),F58&lt;&gt;""),$C58*Thresholds_Rates!$F$16,IF(SUMIF(Grades!$A:$A,$B$2,Grades!$BP:$BP)=1,$C58*Thresholds_Rates!$F$16,"")))))))</f>
        <v/>
      </c>
      <c r="H58" s="81" t="str">
        <f ca="1">IF($B$2="Apprenticeship","-",IF(B58="","",IF(SUMIF(Grades!$A:$A,$B$2,Grades!$BQ:$BQ)=0,"-",IF(AND($B$2="Salary Points 3 to 57",B58&gt;Thresholds_Rates!$C$17),"-",IF(AND($B$2="Salary Points 3 to 57",B58&lt;=Thresholds_Rates!$C$17),$C58*Thresholds_Rates!$F$17,IF(AND(OR($B$2="New Consultant Contract"),$B58&lt;&gt;""),$C58*Thresholds_Rates!$F$17,IF(AND(OR($B$2="Clinical Lecturer / Medical Research Fellow",$B$2="Clinical Consultant - Old Contract (GP)"),$B58&lt;&gt;""),$C58*Thresholds_Rates!$F$17,IF(AND(OR($B$2="APM Level 7",$B$2="R&amp;T Level 7"),G58&lt;&gt;""),$C58*Thresholds_Rates!$F$17,IF(SUMIF(Grades!$A:$A,$B$2,Grades!$BQ:$BQ)=1,$C58*Thresholds_Rates!$F$17,"")))))))))</f>
        <v/>
      </c>
      <c r="I58" s="81" t="str">
        <f ca="1">IF($B58="","",ROUND(($C58-(Thresholds_Rates!$C$5*12))*Thresholds_Rates!$C$10,0))</f>
        <v/>
      </c>
      <c r="J58" s="81" t="str">
        <f ca="1">IF(B58="","",(C58*Thresholds_Rates!$C$12))</f>
        <v/>
      </c>
      <c r="K58" s="81" t="str">
        <f ca="1">IF(B58="","",IF(AND($B$2="Salary Points 3 to 57",B58&gt;Thresholds_Rates!$C$17),"-",IF(SUMIF(Grades!$A:$A,$B$2,Grades!$BR:$BR)=0,"-",IF(AND($B$2="Salary Points 3 to 57",B58&lt;=Thresholds_Rates!$C$17),$C58*Thresholds_Rates!$F$18,IF(AND(OR($B$2="New Consultant Contract"),$B58&lt;&gt;""),$C58*Thresholds_Rates!$F$18,IF(AND(OR($B$2="Clinical Lecturer / Medical Research Fellow",$B$2="Clinical Consultant - Old Contract (GP)"),$B58&lt;&gt;""),$C58*Thresholds_Rates!$F$18,IF(AND(OR($B$2="APM Level 7",$B$2="R&amp;T Level 7"),I58&lt;&gt;""),$C58*Thresholds_Rates!$F$18,IF(SUMIF(Grades!$A:$A,$B$2,Grades!$BQ:$BQ)=1,$C58*Thresholds_Rates!$F$18,""))))))))</f>
        <v/>
      </c>
      <c r="L58" s="68"/>
      <c r="M58" s="81" t="str">
        <f t="shared" ca="1" si="0"/>
        <v/>
      </c>
      <c r="N58" s="81" t="str">
        <f t="shared" ca="1" si="1"/>
        <v/>
      </c>
      <c r="O58" s="81" t="str">
        <f t="shared" ca="1" si="2"/>
        <v/>
      </c>
      <c r="P58" s="81" t="str">
        <f t="shared" ca="1" si="3"/>
        <v/>
      </c>
      <c r="Q58" s="81" t="str">
        <f t="shared" ca="1" si="4"/>
        <v/>
      </c>
      <c r="S58" s="83" t="str">
        <f ca="1">IF(B58="","",IF($B$2="R&amp;T Level 5 - Clinical Lecturers (Vet School)",SUMIF('Points Lookup'!$V:$V,$B58,'Points Lookup'!$W:$W),IF($B$2="R&amp;T Level 6 - Clinical Associate Professors and Clinical Readers (Vet School)",SUMIF('Points Lookup'!$AC:$AC,$B58,'Points Lookup'!$AD:$AD),"")))</f>
        <v/>
      </c>
      <c r="T58" s="84" t="str">
        <f ca="1">IF(B58="","",IF($B$2="R&amp;T Level 5 - Clinical Lecturers (Vet School)",$C58-SUMIF('Points Lookup'!$V:$V,$B58,'Points Lookup'!$X:$X),IF($B$2="R&amp;T Level 6 - Clinical Associate Professors and Clinical Readers (Vet School)",$C58-SUMIF('Points Lookup'!$AC:$AC,$B58,'Points Lookup'!$AE:$AE),"")))</f>
        <v/>
      </c>
      <c r="U58" s="83" t="str">
        <f ca="1">IF(B58="","",IF($B$2="R&amp;T Level 5 - Clinical Lecturers (Vet School)",SUMIF('Points Lookup'!$V:$V,$B58,'Points Lookup'!$Z:$Z),IF($B$2="R&amp;T Level 6 - Clinical Associate Professors and Clinical Readers (Vet School)",SUMIF('Points Lookup'!$AC:$AC,$B58,'Points Lookup'!$AG:$AG),"")))</f>
        <v/>
      </c>
      <c r="V58" s="84" t="str">
        <f t="shared" ca="1" si="5"/>
        <v/>
      </c>
      <c r="AA58" s="39">
        <v>52</v>
      </c>
    </row>
    <row r="59" spans="2:27" x14ac:dyDescent="0.25">
      <c r="B59" s="68" t="str">
        <f ca="1">IFERROR(INDEX('Points Lookup'!$A:$A,MATCH($AA59,'Points Lookup'!$AN:$AN,0)),"")</f>
        <v/>
      </c>
      <c r="C59" s="81" t="str">
        <f ca="1">IF(B59="","",IF($B$2="Apprenticeship",SUMIF('Points Lookup'!$AJ:$AJ,B59,'Points Lookup'!$AL:$AL),IF(AND(OR($B$2="New Consultant Contract"),$B59&lt;&gt;""),INDEX('Points Lookup'!$T:$T,MATCH($B59,'Points Lookup'!$S:$S,0)),IF(AND(OR($B$2="Clinical Lecturer / Medical Research Fellow",$B$2="Clinical Consultant - Old Contract (GP)"),$B59&lt;&gt;""),INDEX('Points Lookup'!$Q:$Q,MATCH($B59,'Points Lookup'!$P:$P,0)),IF(AND(OR($B$2="APM Level 7",$B$2="R&amp;T Level 7",$B$2="APM Level 8",$B$2="Technical Services Level 7"),B59&lt;&gt;""),INDEX('Points Lookup'!$H:$H,MATCH($AA59,'Points Lookup'!$AN:$AN,0)),IF($B$2="R&amp;T Level 5 - Clinical Lecturers (Vet School)",SUMIF('Points Lookup'!$V:$V,$B59,'Points Lookup'!$Y:$Y),IF($B$2="R&amp;T Level 6 - Clinical Associate Professors and Clinical Readers (Vet School)",SUMIF('Points Lookup'!$AC:$AC,$B59,'Points Lookup'!$AF:$AF),IFERROR(INDEX('Points Lookup'!$B:$B,MATCH($AA59,'Points Lookup'!$AN:$AN,0)),""))))))))</f>
        <v/>
      </c>
      <c r="D59" s="82" t="str">
        <f ca="1">IF(B59="","",IF(AND($B$3="Y",B59&lt;7),VLOOKUP($B59,Thresholds_Rates!$I$15:$J$18,2,FALSE),"-"))</f>
        <v/>
      </c>
      <c r="E59" s="81"/>
      <c r="F59" s="81" t="str">
        <f ca="1">IF($B59="","",IF(AND($B$2="Salary Points 3 to 57",B59&lt;Thresholds_Rates!$C$16),"-",IF(SUMIF(Grades!$A:$A,$B$2,Grades!$BO:$BO)=0,"-",IF(AND($B$2="Salary Points 3 to 57",B59&gt;=Thresholds_Rates!$C$16),$C59*Thresholds_Rates!$F$15,IF(AND(OR($B$2="New Consultant Contract"),$B59&lt;&gt;""),$C59*Thresholds_Rates!$F$15,IF(AND(OR($B$2="Clinical Lecturer / Medical Research Fellow",$B$2="Clinical Consultant - Old Contract (GP)"),$B59&lt;&gt;""),$C59*Thresholds_Rates!$F$15,IF(OR($B$2="APM Level 7",$B$2="R&amp;T Level 7"),$C59*Thresholds_Rates!$F$15,IF(SUMIF(Grades!$A:$A,$B$2,Grades!$BO:$BO)=1,$C59*Thresholds_Rates!$F$15,""))))))))</f>
        <v/>
      </c>
      <c r="G59" s="81" t="str">
        <f ca="1">IF(B59="","",IF($B$2="Salary Points 3 to 57","-",IF(SUMIF(Grades!$A:$A,$B$2,Grades!$BP:$BP)=0,"-",IF(AND(OR($B$2="New Consultant Contract"),$B59&lt;&gt;""),$C59*Thresholds_Rates!$F$16,IF(AND(OR($B$2="Clinical Lecturer / Medical Research Fellow",$B$2="Clinical Consultant - Old Contract (GP)"),$B59&lt;&gt;""),$C59*Thresholds_Rates!$F$16,IF(AND(OR($B$2="APM Level 7",$B$2="R&amp;T Level 7"),F59&lt;&gt;""),$C59*Thresholds_Rates!$F$16,IF(SUMIF(Grades!$A:$A,$B$2,Grades!$BP:$BP)=1,$C59*Thresholds_Rates!$F$16,"")))))))</f>
        <v/>
      </c>
      <c r="H59" s="81" t="str">
        <f ca="1">IF($B$2="Apprenticeship","-",IF(B59="","",IF(SUMIF(Grades!$A:$A,$B$2,Grades!$BQ:$BQ)=0,"-",IF(AND($B$2="Salary Points 3 to 57",B59&gt;Thresholds_Rates!$C$17),"-",IF(AND($B$2="Salary Points 3 to 57",B59&lt;=Thresholds_Rates!$C$17),$C59*Thresholds_Rates!$F$17,IF(AND(OR($B$2="New Consultant Contract"),$B59&lt;&gt;""),$C59*Thresholds_Rates!$F$17,IF(AND(OR($B$2="Clinical Lecturer / Medical Research Fellow",$B$2="Clinical Consultant - Old Contract (GP)"),$B59&lt;&gt;""),$C59*Thresholds_Rates!$F$17,IF(AND(OR($B$2="APM Level 7",$B$2="R&amp;T Level 7"),G59&lt;&gt;""),$C59*Thresholds_Rates!$F$17,IF(SUMIF(Grades!$A:$A,$B$2,Grades!$BQ:$BQ)=1,$C59*Thresholds_Rates!$F$17,"")))))))))</f>
        <v/>
      </c>
      <c r="I59" s="81" t="str">
        <f ca="1">IF($B59="","",ROUND(($C59-(Thresholds_Rates!$C$5*12))*Thresholds_Rates!$C$10,0))</f>
        <v/>
      </c>
      <c r="J59" s="81" t="str">
        <f ca="1">IF(B59="","",(C59*Thresholds_Rates!$C$12))</f>
        <v/>
      </c>
      <c r="K59" s="81" t="str">
        <f ca="1">IF(B59="","",IF(AND($B$2="Salary Points 3 to 57",B59&gt;Thresholds_Rates!$C$17),"-",IF(SUMIF(Grades!$A:$A,$B$2,Grades!$BR:$BR)=0,"-",IF(AND($B$2="Salary Points 3 to 57",B59&lt;=Thresholds_Rates!$C$17),$C59*Thresholds_Rates!$F$18,IF(AND(OR($B$2="New Consultant Contract"),$B59&lt;&gt;""),$C59*Thresholds_Rates!$F$18,IF(AND(OR($B$2="Clinical Lecturer / Medical Research Fellow",$B$2="Clinical Consultant - Old Contract (GP)"),$B59&lt;&gt;""),$C59*Thresholds_Rates!$F$18,IF(AND(OR($B$2="APM Level 7",$B$2="R&amp;T Level 7"),I59&lt;&gt;""),$C59*Thresholds_Rates!$F$18,IF(SUMIF(Grades!$A:$A,$B$2,Grades!$BQ:$BQ)=1,$C59*Thresholds_Rates!$F$18,""))))))))</f>
        <v/>
      </c>
      <c r="L59" s="68"/>
      <c r="M59" s="81" t="str">
        <f t="shared" ca="1" si="0"/>
        <v/>
      </c>
      <c r="N59" s="81" t="str">
        <f t="shared" ca="1" si="1"/>
        <v/>
      </c>
      <c r="O59" s="81" t="str">
        <f t="shared" ca="1" si="2"/>
        <v/>
      </c>
      <c r="P59" s="81" t="str">
        <f t="shared" ca="1" si="3"/>
        <v/>
      </c>
      <c r="Q59" s="81" t="str">
        <f t="shared" ca="1" si="4"/>
        <v/>
      </c>
      <c r="S59" s="83" t="str">
        <f ca="1">IF(B59="","",IF($B$2="R&amp;T Level 5 - Clinical Lecturers (Vet School)",SUMIF('Points Lookup'!$V:$V,$B59,'Points Lookup'!$W:$W),IF($B$2="R&amp;T Level 6 - Clinical Associate Professors and Clinical Readers (Vet School)",SUMIF('Points Lookup'!$AC:$AC,$B59,'Points Lookup'!$AD:$AD),"")))</f>
        <v/>
      </c>
      <c r="T59" s="84" t="str">
        <f ca="1">IF(B59="","",IF($B$2="R&amp;T Level 5 - Clinical Lecturers (Vet School)",$C59-SUMIF('Points Lookup'!$V:$V,$B59,'Points Lookup'!$X:$X),IF($B$2="R&amp;T Level 6 - Clinical Associate Professors and Clinical Readers (Vet School)",$C59-SUMIF('Points Lookup'!$AC:$AC,$B59,'Points Lookup'!$AE:$AE),"")))</f>
        <v/>
      </c>
      <c r="U59" s="83" t="str">
        <f ca="1">IF(B59="","",IF($B$2="R&amp;T Level 5 - Clinical Lecturers (Vet School)",SUMIF('Points Lookup'!$V:$V,$B59,'Points Lookup'!$Z:$Z),IF($B$2="R&amp;T Level 6 - Clinical Associate Professors and Clinical Readers (Vet School)",SUMIF('Points Lookup'!$AC:$AC,$B59,'Points Lookup'!$AG:$AG),"")))</f>
        <v/>
      </c>
      <c r="V59" s="84" t="str">
        <f t="shared" ca="1" si="5"/>
        <v/>
      </c>
      <c r="AA59" s="39">
        <v>53</v>
      </c>
    </row>
    <row r="60" spans="2:27" x14ac:dyDescent="0.25">
      <c r="B60" s="68" t="str">
        <f ca="1">IFERROR(INDEX('Points Lookup'!$A:$A,MATCH($AA60,'Points Lookup'!$AN:$AN,0)),"")</f>
        <v/>
      </c>
      <c r="C60" s="81" t="str">
        <f ca="1">IF(B60="","",IF($B$2="Apprenticeship",SUMIF('Points Lookup'!$AJ:$AJ,B60,'Points Lookup'!$AL:$AL),IF(AND(OR($B$2="New Consultant Contract"),$B60&lt;&gt;""),INDEX('Points Lookup'!$T:$T,MATCH($B60,'Points Lookup'!$S:$S,0)),IF(AND(OR($B$2="Clinical Lecturer / Medical Research Fellow",$B$2="Clinical Consultant - Old Contract (GP)"),$B60&lt;&gt;""),INDEX('Points Lookup'!$Q:$Q,MATCH($B60,'Points Lookup'!$P:$P,0)),IF(AND(OR($B$2="APM Level 7",$B$2="R&amp;T Level 7",$B$2="APM Level 8",$B$2="Technical Services Level 7"),B60&lt;&gt;""),INDEX('Points Lookup'!$H:$H,MATCH($AA60,'Points Lookup'!$AN:$AN,0)),IF($B$2="R&amp;T Level 5 - Clinical Lecturers (Vet School)",SUMIF('Points Lookup'!$V:$V,$B60,'Points Lookup'!$Y:$Y),IF($B$2="R&amp;T Level 6 - Clinical Associate Professors and Clinical Readers (Vet School)",SUMIF('Points Lookup'!$AC:$AC,$B60,'Points Lookup'!$AF:$AF),IFERROR(INDEX('Points Lookup'!$B:$B,MATCH($AA60,'Points Lookup'!$AN:$AN,0)),""))))))))</f>
        <v/>
      </c>
      <c r="D60" s="82" t="str">
        <f ca="1">IF(B60="","",IF(AND($B$3="Y",B60&lt;7),VLOOKUP($B60,Thresholds_Rates!$I$15:$J$18,2,FALSE),"-"))</f>
        <v/>
      </c>
      <c r="E60" s="81"/>
      <c r="F60" s="81" t="str">
        <f ca="1">IF($B60="","",IF(AND($B$2="Salary Points 3 to 57",B60&lt;Thresholds_Rates!$C$16),"-",IF(SUMIF(Grades!$A:$A,$B$2,Grades!$BO:$BO)=0,"-",IF(AND($B$2="Salary Points 3 to 57",B60&gt;=Thresholds_Rates!$C$16),$C60*Thresholds_Rates!$F$15,IF(AND(OR($B$2="New Consultant Contract"),$B60&lt;&gt;""),$C60*Thresholds_Rates!$F$15,IF(AND(OR($B$2="Clinical Lecturer / Medical Research Fellow",$B$2="Clinical Consultant - Old Contract (GP)"),$B60&lt;&gt;""),$C60*Thresholds_Rates!$F$15,IF(OR($B$2="APM Level 7",$B$2="R&amp;T Level 7"),$C60*Thresholds_Rates!$F$15,IF(SUMIF(Grades!$A:$A,$B$2,Grades!$BO:$BO)=1,$C60*Thresholds_Rates!$F$15,""))))))))</f>
        <v/>
      </c>
      <c r="G60" s="81" t="str">
        <f ca="1">IF(B60="","",IF($B$2="Salary Points 3 to 57","-",IF(SUMIF(Grades!$A:$A,$B$2,Grades!$BP:$BP)=0,"-",IF(AND(OR($B$2="New Consultant Contract"),$B60&lt;&gt;""),$C60*Thresholds_Rates!$F$16,IF(AND(OR($B$2="Clinical Lecturer / Medical Research Fellow",$B$2="Clinical Consultant - Old Contract (GP)"),$B60&lt;&gt;""),$C60*Thresholds_Rates!$F$16,IF(AND(OR($B$2="APM Level 7",$B$2="R&amp;T Level 7"),F60&lt;&gt;""),$C60*Thresholds_Rates!$F$16,IF(SUMIF(Grades!$A:$A,$B$2,Grades!$BP:$BP)=1,$C60*Thresholds_Rates!$F$16,"")))))))</f>
        <v/>
      </c>
      <c r="H60" s="81" t="str">
        <f ca="1">IF($B$2="Apprenticeship","-",IF(B60="","",IF(SUMIF(Grades!$A:$A,$B$2,Grades!$BQ:$BQ)=0,"-",IF(AND($B$2="Salary Points 3 to 57",B60&gt;Thresholds_Rates!$C$17),"-",IF(AND($B$2="Salary Points 3 to 57",B60&lt;=Thresholds_Rates!$C$17),$C60*Thresholds_Rates!$F$17,IF(AND(OR($B$2="New Consultant Contract"),$B60&lt;&gt;""),$C60*Thresholds_Rates!$F$17,IF(AND(OR($B$2="Clinical Lecturer / Medical Research Fellow",$B$2="Clinical Consultant - Old Contract (GP)"),$B60&lt;&gt;""),$C60*Thresholds_Rates!$F$17,IF(AND(OR($B$2="APM Level 7",$B$2="R&amp;T Level 7"),G60&lt;&gt;""),$C60*Thresholds_Rates!$F$17,IF(SUMIF(Grades!$A:$A,$B$2,Grades!$BQ:$BQ)=1,$C60*Thresholds_Rates!$F$17,"")))))))))</f>
        <v/>
      </c>
      <c r="I60" s="81" t="str">
        <f ca="1">IF($B60="","",ROUND(($C60-(Thresholds_Rates!$C$5*12))*Thresholds_Rates!$C$10,0))</f>
        <v/>
      </c>
      <c r="J60" s="81" t="str">
        <f ca="1">IF(B60="","",(C60*Thresholds_Rates!$C$12))</f>
        <v/>
      </c>
      <c r="K60" s="81" t="str">
        <f ca="1">IF(B60="","",IF(AND($B$2="Salary Points 3 to 57",B60&gt;Thresholds_Rates!$C$17),"-",IF(SUMIF(Grades!$A:$A,$B$2,Grades!$BR:$BR)=0,"-",IF(AND($B$2="Salary Points 3 to 57",B60&lt;=Thresholds_Rates!$C$17),$C60*Thresholds_Rates!$F$18,IF(AND(OR($B$2="New Consultant Contract"),$B60&lt;&gt;""),$C60*Thresholds_Rates!$F$18,IF(AND(OR($B$2="Clinical Lecturer / Medical Research Fellow",$B$2="Clinical Consultant - Old Contract (GP)"),$B60&lt;&gt;""),$C60*Thresholds_Rates!$F$18,IF(AND(OR($B$2="APM Level 7",$B$2="R&amp;T Level 7"),I60&lt;&gt;""),$C60*Thresholds_Rates!$F$18,IF(SUMIF(Grades!$A:$A,$B$2,Grades!$BQ:$BQ)=1,$C60*Thresholds_Rates!$F$18,""))))))))</f>
        <v/>
      </c>
      <c r="L60" s="68"/>
      <c r="M60" s="81" t="str">
        <f t="shared" ca="1" si="0"/>
        <v/>
      </c>
      <c r="N60" s="81" t="str">
        <f t="shared" ca="1" si="1"/>
        <v/>
      </c>
      <c r="O60" s="81" t="str">
        <f t="shared" ca="1" si="2"/>
        <v/>
      </c>
      <c r="P60" s="81" t="str">
        <f t="shared" ca="1" si="3"/>
        <v/>
      </c>
      <c r="Q60" s="81" t="str">
        <f t="shared" ca="1" si="4"/>
        <v/>
      </c>
      <c r="S60" s="83" t="str">
        <f ca="1">IF(B60="","",IF($B$2="R&amp;T Level 5 - Clinical Lecturers (Vet School)",SUMIF('Points Lookup'!$V:$V,$B60,'Points Lookup'!$W:$W),IF($B$2="R&amp;T Level 6 - Clinical Associate Professors and Clinical Readers (Vet School)",SUMIF('Points Lookup'!$AC:$AC,$B60,'Points Lookup'!$AD:$AD),"")))</f>
        <v/>
      </c>
      <c r="T60" s="84" t="str">
        <f ca="1">IF(B60="","",IF($B$2="R&amp;T Level 5 - Clinical Lecturers (Vet School)",$C60-SUMIF('Points Lookup'!$V:$V,$B60,'Points Lookup'!$X:$X),IF($B$2="R&amp;T Level 6 - Clinical Associate Professors and Clinical Readers (Vet School)",$C60-SUMIF('Points Lookup'!$AC:$AC,$B60,'Points Lookup'!$AE:$AE),"")))</f>
        <v/>
      </c>
      <c r="U60" s="83" t="str">
        <f ca="1">IF(B60="","",IF($B$2="R&amp;T Level 5 - Clinical Lecturers (Vet School)",SUMIF('Points Lookup'!$V:$V,$B60,'Points Lookup'!$Z:$Z),IF($B$2="R&amp;T Level 6 - Clinical Associate Professors and Clinical Readers (Vet School)",SUMIF('Points Lookup'!$AC:$AC,$B60,'Points Lookup'!$AG:$AG),"")))</f>
        <v/>
      </c>
      <c r="V60" s="84" t="str">
        <f t="shared" ca="1" si="5"/>
        <v/>
      </c>
      <c r="AA60" s="39">
        <v>54</v>
      </c>
    </row>
    <row r="61" spans="2:27" x14ac:dyDescent="0.25">
      <c r="B61" s="68" t="str">
        <f ca="1">IFERROR(INDEX('Points Lookup'!$A:$A,MATCH($AA61,'Points Lookup'!$AN:$AN,0)),"")</f>
        <v/>
      </c>
      <c r="C61" s="81" t="str">
        <f ca="1">IF(B61="","",IF($B$2="Apprenticeship",SUMIF('Points Lookup'!$AJ:$AJ,B61,'Points Lookup'!$AL:$AL),IF(AND(OR($B$2="New Consultant Contract"),$B61&lt;&gt;""),INDEX('Points Lookup'!$T:$T,MATCH($B61,'Points Lookup'!$S:$S,0)),IF(AND(OR($B$2="Clinical Lecturer / Medical Research Fellow",$B$2="Clinical Consultant - Old Contract (GP)"),$B61&lt;&gt;""),INDEX('Points Lookup'!$Q:$Q,MATCH($B61,'Points Lookup'!$P:$P,0)),IF(AND(OR($B$2="APM Level 7",$B$2="R&amp;T Level 7",$B$2="APM Level 8",$B$2="Technical Services Level 7"),B61&lt;&gt;""),INDEX('Points Lookup'!$H:$H,MATCH($AA61,'Points Lookup'!$AN:$AN,0)),IF($B$2="R&amp;T Level 5 - Clinical Lecturers (Vet School)",SUMIF('Points Lookup'!$V:$V,$B61,'Points Lookup'!$Y:$Y),IF($B$2="R&amp;T Level 6 - Clinical Associate Professors and Clinical Readers (Vet School)",SUMIF('Points Lookup'!$AC:$AC,$B61,'Points Lookup'!$AF:$AF),IFERROR(INDEX('Points Lookup'!$B:$B,MATCH($AA61,'Points Lookup'!$AN:$AN,0)),""))))))))</f>
        <v/>
      </c>
      <c r="D61" s="82" t="str">
        <f ca="1">IF(B61="","",IF(AND($B$3="Y",B61&lt;7),VLOOKUP($B61,Thresholds_Rates!$I$15:$J$18,2,FALSE),"-"))</f>
        <v/>
      </c>
      <c r="E61" s="81"/>
      <c r="F61" s="81" t="str">
        <f ca="1">IF($B61="","",IF(AND($B$2="Salary Points 3 to 57",B61&lt;Thresholds_Rates!$C$16),"-",IF(SUMIF(Grades!$A:$A,$B$2,Grades!$BO:$BO)=0,"-",IF(AND($B$2="Salary Points 3 to 57",B61&gt;=Thresholds_Rates!$C$16),$C61*Thresholds_Rates!$F$15,IF(AND(OR($B$2="New Consultant Contract"),$B61&lt;&gt;""),$C61*Thresholds_Rates!$F$15,IF(AND(OR($B$2="Clinical Lecturer / Medical Research Fellow",$B$2="Clinical Consultant - Old Contract (GP)"),$B61&lt;&gt;""),$C61*Thresholds_Rates!$F$15,IF(OR($B$2="APM Level 7",$B$2="R&amp;T Level 7"),$C61*Thresholds_Rates!$F$15,IF(SUMIF(Grades!$A:$A,$B$2,Grades!$BO:$BO)=1,$C61*Thresholds_Rates!$F$15,""))))))))</f>
        <v/>
      </c>
      <c r="G61" s="81" t="str">
        <f ca="1">IF(B61="","",IF($B$2="Salary Points 3 to 57","-",IF(SUMIF(Grades!$A:$A,$B$2,Grades!$BP:$BP)=0,"-",IF(AND(OR($B$2="New Consultant Contract"),$B61&lt;&gt;""),$C61*Thresholds_Rates!$F$16,IF(AND(OR($B$2="Clinical Lecturer / Medical Research Fellow",$B$2="Clinical Consultant - Old Contract (GP)"),$B61&lt;&gt;""),$C61*Thresholds_Rates!$F$16,IF(AND(OR($B$2="APM Level 7",$B$2="R&amp;T Level 7"),F61&lt;&gt;""),$C61*Thresholds_Rates!$F$16,IF(SUMIF(Grades!$A:$A,$B$2,Grades!$BP:$BP)=1,$C61*Thresholds_Rates!$F$16,"")))))))</f>
        <v/>
      </c>
      <c r="H61" s="81" t="str">
        <f ca="1">IF($B$2="Apprenticeship","-",IF(B61="","",IF(SUMIF(Grades!$A:$A,$B$2,Grades!$BQ:$BQ)=0,"-",IF(AND($B$2="Salary Points 3 to 57",B61&gt;Thresholds_Rates!$C$17),"-",IF(AND($B$2="Salary Points 3 to 57",B61&lt;=Thresholds_Rates!$C$17),$C61*Thresholds_Rates!$F$17,IF(AND(OR($B$2="New Consultant Contract"),$B61&lt;&gt;""),$C61*Thresholds_Rates!$F$17,IF(AND(OR($B$2="Clinical Lecturer / Medical Research Fellow",$B$2="Clinical Consultant - Old Contract (GP)"),$B61&lt;&gt;""),$C61*Thresholds_Rates!$F$17,IF(AND(OR($B$2="APM Level 7",$B$2="R&amp;T Level 7"),G61&lt;&gt;""),$C61*Thresholds_Rates!$F$17,IF(SUMIF(Grades!$A:$A,$B$2,Grades!$BQ:$BQ)=1,$C61*Thresholds_Rates!$F$17,"")))))))))</f>
        <v/>
      </c>
      <c r="I61" s="81" t="str">
        <f ca="1">IF($B61="","",ROUND(($C61-(Thresholds_Rates!$C$5*12))*Thresholds_Rates!$C$10,0))</f>
        <v/>
      </c>
      <c r="J61" s="81" t="str">
        <f ca="1">IF(B61="","",(C61*Thresholds_Rates!$C$12))</f>
        <v/>
      </c>
      <c r="K61" s="81" t="str">
        <f ca="1">IF(B61="","",IF(AND($B$2="Salary Points 3 to 57",B61&gt;Thresholds_Rates!$C$17),"-",IF(SUMIF(Grades!$A:$A,$B$2,Grades!$BR:$BR)=0,"-",IF(AND($B$2="Salary Points 3 to 57",B61&lt;=Thresholds_Rates!$C$17),$C61*Thresholds_Rates!$F$18,IF(AND(OR($B$2="New Consultant Contract"),$B61&lt;&gt;""),$C61*Thresholds_Rates!$F$18,IF(AND(OR($B$2="Clinical Lecturer / Medical Research Fellow",$B$2="Clinical Consultant - Old Contract (GP)"),$B61&lt;&gt;""),$C61*Thresholds_Rates!$F$18,IF(AND(OR($B$2="APM Level 7",$B$2="R&amp;T Level 7"),I61&lt;&gt;""),$C61*Thresholds_Rates!$F$18,IF(SUMIF(Grades!$A:$A,$B$2,Grades!$BQ:$BQ)=1,$C61*Thresholds_Rates!$F$18,""))))))))</f>
        <v/>
      </c>
      <c r="L61" s="68"/>
      <c r="M61" s="81" t="str">
        <f t="shared" ca="1" si="0"/>
        <v/>
      </c>
      <c r="N61" s="81" t="str">
        <f t="shared" ca="1" si="1"/>
        <v/>
      </c>
      <c r="O61" s="81" t="str">
        <f t="shared" ca="1" si="2"/>
        <v/>
      </c>
      <c r="P61" s="81" t="str">
        <f t="shared" ca="1" si="3"/>
        <v/>
      </c>
      <c r="Q61" s="81" t="str">
        <f t="shared" ca="1" si="4"/>
        <v/>
      </c>
      <c r="S61" s="83" t="str">
        <f ca="1">IF(B61="","",IF($B$2="R&amp;T Level 5 - Clinical Lecturers (Vet School)",SUMIF('Points Lookup'!$V:$V,$B61,'Points Lookup'!$W:$W),IF($B$2="R&amp;T Level 6 - Clinical Associate Professors and Clinical Readers (Vet School)",SUMIF('Points Lookup'!$AC:$AC,$B61,'Points Lookup'!$AD:$AD),"")))</f>
        <v/>
      </c>
      <c r="T61" s="84" t="str">
        <f ca="1">IF(B61="","",IF($B$2="R&amp;T Level 5 - Clinical Lecturers (Vet School)",$C61-SUMIF('Points Lookup'!$V:$V,$B61,'Points Lookup'!$X:$X),IF($B$2="R&amp;T Level 6 - Clinical Associate Professors and Clinical Readers (Vet School)",$C61-SUMIF('Points Lookup'!$AC:$AC,$B61,'Points Lookup'!$AE:$AE),"")))</f>
        <v/>
      </c>
      <c r="U61" s="83" t="str">
        <f ca="1">IF(B61="","",IF($B$2="R&amp;T Level 5 - Clinical Lecturers (Vet School)",SUMIF('Points Lookup'!$V:$V,$B61,'Points Lookup'!$Z:$Z),IF($B$2="R&amp;T Level 6 - Clinical Associate Professors and Clinical Readers (Vet School)",SUMIF('Points Lookup'!$AC:$AC,$B61,'Points Lookup'!$AG:$AG),"")))</f>
        <v/>
      </c>
      <c r="V61" s="84" t="str">
        <f t="shared" ca="1" si="5"/>
        <v/>
      </c>
      <c r="AA61" s="39">
        <v>55</v>
      </c>
    </row>
    <row r="62" spans="2:27" x14ac:dyDescent="0.25">
      <c r="B62" s="68" t="str">
        <f ca="1">IFERROR(INDEX('Points Lookup'!$A:$A,MATCH($AA62,'Points Lookup'!$AN:$AN,0)),"")</f>
        <v/>
      </c>
      <c r="C62" s="81" t="str">
        <f ca="1">IF(B62="","",IF($B$2="Apprenticeship",SUMIF('Points Lookup'!$AJ:$AJ,B62,'Points Lookup'!$AL:$AL),IF(AND(OR($B$2="New Consultant Contract"),$B62&lt;&gt;""),INDEX('Points Lookup'!$T:$T,MATCH($B62,'Points Lookup'!$S:$S,0)),IF(AND(OR($B$2="Clinical Lecturer / Medical Research Fellow",$B$2="Clinical Consultant - Old Contract (GP)"),$B62&lt;&gt;""),INDEX('Points Lookup'!$Q:$Q,MATCH($B62,'Points Lookup'!$P:$P,0)),IF(AND(OR($B$2="APM Level 7",$B$2="R&amp;T Level 7",$B$2="APM Level 8",$B$2="Technical Services Level 7"),B62&lt;&gt;""),INDEX('Points Lookup'!$H:$H,MATCH($AA62,'Points Lookup'!$AN:$AN,0)),IF($B$2="R&amp;T Level 5 - Clinical Lecturers (Vet School)",SUMIF('Points Lookup'!$V:$V,$B62,'Points Lookup'!$Y:$Y),IF($B$2="R&amp;T Level 6 - Clinical Associate Professors and Clinical Readers (Vet School)",SUMIF('Points Lookup'!$AC:$AC,$B62,'Points Lookup'!$AF:$AF),IFERROR(INDEX('Points Lookup'!$B:$B,MATCH($AA62,'Points Lookup'!$AN:$AN,0)),""))))))))</f>
        <v/>
      </c>
      <c r="D62" s="81"/>
      <c r="E62" s="81"/>
      <c r="F62" s="81" t="str">
        <f ca="1">IF($B62="","",IF(AND($B$2="Salary Points 3 to 57",B62&lt;Thresholds_Rates!$C$16),"-",IF(SUMIF(Grades!$A:$A,$B$2,Grades!$BO:$BO)=0,"-",IF(AND($B$2="Salary Points 3 to 57",B62&gt;=Thresholds_Rates!$C$16),$C62*Thresholds_Rates!$F$15,IF(AND(OR($B$2="New Consultant Contract"),$B62&lt;&gt;""),$C62*Thresholds_Rates!$F$15,IF(AND(OR($B$2="Clinical Lecturer / Medical Research Fellow",$B$2="Clinical Consultant - Old Contract (GP)"),$B62&lt;&gt;""),$C62*Thresholds_Rates!$F$15,IF(OR($B$2="APM Level 7",$B$2="R&amp;T Level 7"),$C62*Thresholds_Rates!$F$15,IF(SUMIF(Grades!$A:$A,$B$2,Grades!$BO:$BO)=1,$C62*Thresholds_Rates!$F$15,""))))))))</f>
        <v/>
      </c>
      <c r="G62" s="81" t="str">
        <f ca="1">IF(B62="","",IF($B$2="Salary Points 3 to 57","-",IF(SUMIF(Grades!$A:$A,$B$2,Grades!$BP:$BP)=0,"-",IF(AND(OR($B$2="New Consultant Contract"),$B62&lt;&gt;""),$C62*Thresholds_Rates!$F$16,IF(AND(OR($B$2="Clinical Lecturer / Medical Research Fellow",$B$2="Clinical Consultant - Old Contract (GP)"),$B62&lt;&gt;""),$C62*Thresholds_Rates!$F$16,IF(AND(OR($B$2="APM Level 7",$B$2="R&amp;T Level 7"),F62&lt;&gt;""),$C62*Thresholds_Rates!$F$16,IF(SUMIF(Grades!$A:$A,$B$2,Grades!$BP:$BP)=1,$C62*Thresholds_Rates!$F$16,"")))))))</f>
        <v/>
      </c>
      <c r="H62" s="81" t="str">
        <f ca="1">IF($B$2="Apprenticeship","-",IF(B62="","",IF(SUMIF(Grades!$A:$A,$B$2,Grades!$BQ:$BQ)=0,"-",IF(AND($B$2="Salary Points 3 to 57",B62&gt;Thresholds_Rates!$C$17),"-",IF(AND($B$2="Salary Points 3 to 57",B62&lt;=Thresholds_Rates!$C$17),$C62*Thresholds_Rates!$F$17,IF(AND(OR($B$2="New Consultant Contract"),$B62&lt;&gt;""),$C62*Thresholds_Rates!$F$17,IF(AND(OR($B$2="Clinical Lecturer / Medical Research Fellow",$B$2="Clinical Consultant - Old Contract (GP)"),$B62&lt;&gt;""),$C62*Thresholds_Rates!$F$17,IF(AND(OR($B$2="APM Level 7",$B$2="R&amp;T Level 7"),G62&lt;&gt;""),$C62*Thresholds_Rates!$F$17,IF(SUMIF(Grades!$A:$A,$B$2,Grades!$BQ:$BQ)=1,$C62*Thresholds_Rates!$F$17,"")))))))))</f>
        <v/>
      </c>
      <c r="I62" s="81" t="str">
        <f ca="1">IF($B62="","",ROUND(($C62-(Thresholds_Rates!$C$5*12))*Thresholds_Rates!$C$10,0))</f>
        <v/>
      </c>
      <c r="J62" s="81" t="str">
        <f ca="1">IF(B62="","",(C62*Thresholds_Rates!$C$12))</f>
        <v/>
      </c>
      <c r="K62" s="81" t="str">
        <f ca="1">IF(B62="","",IF(AND($B$2="Salary Points 3 to 57",B62&gt;Thresholds_Rates!$C$17),"-",IF(SUMIF(Grades!$A:$A,$B$2,Grades!$BR:$BR)=0,"-",IF(AND($B$2="Salary Points 3 to 57",B62&lt;=Thresholds_Rates!$C$17),$C62*Thresholds_Rates!$F$18,IF(AND(OR($B$2="New Consultant Contract"),$B62&lt;&gt;""),$C62*Thresholds_Rates!$F$18,IF(AND(OR($B$2="Clinical Lecturer / Medical Research Fellow",$B$2="Clinical Consultant - Old Contract (GP)"),$B62&lt;&gt;""),$C62*Thresholds_Rates!$F$18,IF(AND(OR($B$2="APM Level 7",$B$2="R&amp;T Level 7"),I62&lt;&gt;""),$C62*Thresholds_Rates!$F$18,IF(SUMIF(Grades!$A:$A,$B$2,Grades!$BQ:$BQ)=1,$C62*Thresholds_Rates!$F$18,""))))))))</f>
        <v/>
      </c>
      <c r="L62" s="68"/>
      <c r="M62" s="81" t="str">
        <f t="shared" ca="1" si="0"/>
        <v/>
      </c>
      <c r="N62" s="81" t="str">
        <f t="shared" ca="1" si="1"/>
        <v/>
      </c>
      <c r="O62" s="81" t="str">
        <f t="shared" ca="1" si="2"/>
        <v/>
      </c>
      <c r="P62" s="81" t="str">
        <f t="shared" ca="1" si="3"/>
        <v/>
      </c>
      <c r="Q62" s="81" t="str">
        <f t="shared" ca="1" si="4"/>
        <v/>
      </c>
      <c r="S62" s="83" t="str">
        <f ca="1">IF(B62="","",IF($B$2="R&amp;T Level 5 - Clinical Lecturers (Vet School)",SUMIF('Points Lookup'!$V:$V,$B62,'Points Lookup'!$W:$W),IF($B$2="R&amp;T Level 6 - Clinical Associate Professors and Clinical Readers (Vet School)",SUMIF('Points Lookup'!$AC:$AC,$B62,'Points Lookup'!$AD:$AD),"")))</f>
        <v/>
      </c>
      <c r="T62" s="84" t="str">
        <f ca="1">IF(B62="","",IF($B$2="R&amp;T Level 5 - Clinical Lecturers (Vet School)",$C62-SUMIF('Points Lookup'!$V:$V,$B62,'Points Lookup'!$X:$X),IF($B$2="R&amp;T Level 6 - Clinical Associate Professors and Clinical Readers (Vet School)",$C62-SUMIF('Points Lookup'!$AC:$AC,$B62,'Points Lookup'!$AE:$AE),"")))</f>
        <v/>
      </c>
      <c r="U62" s="83" t="str">
        <f ca="1">IF(B62="","",IF($B$2="R&amp;T Level 5 - Clinical Lecturers (Vet School)",SUMIF('Points Lookup'!$V:$V,$B62,'Points Lookup'!$Z:$Z),IF($B$2="R&amp;T Level 6 - Clinical Associate Professors and Clinical Readers (Vet School)",SUMIF('Points Lookup'!$AC:$AC,$B62,'Points Lookup'!$AG:$AG),"")))</f>
        <v/>
      </c>
      <c r="V62" s="84" t="str">
        <f t="shared" ca="1" si="5"/>
        <v/>
      </c>
      <c r="AA62" s="39">
        <v>56</v>
      </c>
    </row>
    <row r="63" spans="2:27" x14ac:dyDescent="0.25">
      <c r="B63" s="68" t="str">
        <f ca="1">IFERROR(INDEX('Points Lookup'!$A:$A,MATCH($AA63,'Points Lookup'!$AN:$AN,0)),"")</f>
        <v/>
      </c>
      <c r="C63" s="81" t="str">
        <f ca="1">IF(B63="","",IF($B$2="Apprenticeship",SUMIF('Points Lookup'!$AJ:$AJ,B63,'Points Lookup'!$AL:$AL),IF(AND(OR($B$2="New Consultant Contract"),$B63&lt;&gt;""),INDEX('Points Lookup'!$T:$T,MATCH($B63,'Points Lookup'!$S:$S,0)),IF(AND(OR($B$2="Clinical Lecturer / Medical Research Fellow",$B$2="Clinical Consultant - Old Contract (GP)"),$B63&lt;&gt;""),INDEX('Points Lookup'!$Q:$Q,MATCH($B63,'Points Lookup'!$P:$P,0)),IF(AND(OR($B$2="APM Level 7",$B$2="R&amp;T Level 7",$B$2="APM Level 8",$B$2="Technical Services Level 7"),B63&lt;&gt;""),INDEX('Points Lookup'!$H:$H,MATCH($AA63,'Points Lookup'!$AN:$AN,0)),IF($B$2="R&amp;T Level 5 - Clinical Lecturers (Vet School)",SUMIF('Points Lookup'!$V:$V,$B63,'Points Lookup'!$Y:$Y),IF($B$2="R&amp;T Level 6 - Clinical Associate Professors and Clinical Readers (Vet School)",SUMIF('Points Lookup'!$AC:$AC,$B63,'Points Lookup'!$AF:$AF),IFERROR(INDEX('Points Lookup'!$B:$B,MATCH($AA63,'Points Lookup'!$AN:$AN,0)),""))))))))</f>
        <v/>
      </c>
      <c r="D63" s="81"/>
      <c r="E63" s="81"/>
      <c r="F63" s="81" t="str">
        <f ca="1">IF($B63="","",IF(AND($B$2="Salary Points 3 to 57",B63&lt;Thresholds_Rates!$C$16),"-",IF(SUMIF(Grades!$A:$A,$B$2,Grades!$BO:$BO)=0,"-",IF(AND($B$2="Salary Points 3 to 57",B63&gt;=Thresholds_Rates!$C$16),$C63*Thresholds_Rates!$F$15,IF(AND(OR($B$2="New Consultant Contract"),$B63&lt;&gt;""),$C63*Thresholds_Rates!$F$15,IF(AND(OR($B$2="Clinical Lecturer / Medical Research Fellow",$B$2="Clinical Consultant - Old Contract (GP)"),$B63&lt;&gt;""),$C63*Thresholds_Rates!$F$15,IF(OR($B$2="APM Level 7",$B$2="R&amp;T Level 7"),$C63*Thresholds_Rates!$F$15,IF(SUMIF(Grades!$A:$A,$B$2,Grades!$BO:$BO)=1,$C63*Thresholds_Rates!$F$15,""))))))))</f>
        <v/>
      </c>
      <c r="G63" s="81" t="str">
        <f ca="1">IF(B63="","",IF($B$2="Salary Points 1 to 57","-",IF(SUMIF(Grades!$A:$A,$B$2,Grades!$BP:$BP)=0,"-",IF(AND(OR($B$2="New Consultant Contract"),$B63&lt;&gt;""),$C63*Thresholds_Rates!$F$16,IF(AND(OR($B$2="Clinical Lecturer / Medical Research Fellow",$B$2="Clinical Consultant - Old Contract (GP)"),$B63&lt;&gt;""),$C63*Thresholds_Rates!$F$16,IF(AND(OR($B$2="APM Level 7",$B$2="R&amp;T Level 7"),F63&lt;&gt;""),$C63*Thresholds_Rates!$F$16,IF(SUMIF(Grades!$A:$A,$B$2,Grades!$BP:$BP)=1,$C63*Thresholds_Rates!$F$16,"")))))))</f>
        <v/>
      </c>
      <c r="H63" s="81" t="str">
        <f ca="1">IF(B63="","",IF(SUMIF(Grades!$A:$A,$B$2,Grades!$BQ:$BQ)=0,"-",IF(AND($B$2="Salary Points 1 to 57",B63&gt;Thresholds_Rates!$C$17),"-",IF(AND($B$2="Salary Points 1 to 57",B63&lt;=Thresholds_Rates!$C$17),$C63*Thresholds_Rates!$F$17,IF(AND(OR($B$2="New Consultant Contract"),$B63&lt;&gt;""),$C63*Thresholds_Rates!$F$17,IF(AND(OR($B$2="Clinical Lecturer / Medical Research Fellow",$B$2="Clinical Consultant - Old Contract (GP)"),$B63&lt;&gt;""),$C63*Thresholds_Rates!$F$17,IF(AND(OR($B$2="APM Level 7",$B$2="R&amp;T Level 7"),G63&lt;&gt;""),$C63*Thresholds_Rates!$F$17,IF(SUMIF(Grades!$A:$A,$B$2,Grades!$BQ:$BQ)=1,$C63*Thresholds_Rates!$F$17,""))))))))</f>
        <v/>
      </c>
      <c r="I63" s="81" t="str">
        <f ca="1">IF($B63="","",ROUND(($C63-(Thresholds_Rates!$C$5*12))*Thresholds_Rates!$C$10,0))</f>
        <v/>
      </c>
      <c r="J63" s="81" t="str">
        <f ca="1">IF(B63="","",(C63*Thresholds_Rates!$C$12))</f>
        <v/>
      </c>
      <c r="K63" s="81" t="str">
        <f ca="1">IF(B63="","",IF(AND($B$2="Salary Points 1 to 57",B63&gt;Thresholds_Rates!$C$17),"-",IF(SUMIF(Grades!$A:$A,$B$2,Grades!$BR:$BR)=0,"-",IF(AND($B$2="Salary Points 1 to 57",B63&lt;=Thresholds_Rates!$C$17),$C63*Thresholds_Rates!$F$18,IF(AND(OR($B$2="New Consultant Contract"),$B63&lt;&gt;""),$C63*Thresholds_Rates!$F$18,IF(AND(OR($B$2="Clinical Lecturer / Medical Research Fellow",$B$2="Clinical Consultant - Old Contract (GP)"),$B63&lt;&gt;""),$C63*Thresholds_Rates!$F$18,IF(AND(OR($B$2="APM Level 7",$B$2="R&amp;T Level 7"),I63&lt;&gt;""),$C63*Thresholds_Rates!$F$18,IF(SUMIF(Grades!$A:$A,$B$2,Grades!$BQ:$BQ)=1,$C63*Thresholds_Rates!$F$18,""))))))))</f>
        <v/>
      </c>
      <c r="L63" s="68"/>
      <c r="M63" s="81" t="str">
        <f t="shared" ca="1" si="0"/>
        <v/>
      </c>
      <c r="N63" s="81" t="str">
        <f t="shared" ca="1" si="1"/>
        <v/>
      </c>
      <c r="O63" s="81" t="str">
        <f t="shared" ca="1" si="2"/>
        <v/>
      </c>
      <c r="P63" s="81" t="str">
        <f t="shared" ca="1" si="3"/>
        <v/>
      </c>
      <c r="Q63" s="81" t="str">
        <f t="shared" ca="1" si="4"/>
        <v/>
      </c>
      <c r="S63" s="83" t="str">
        <f ca="1">IF(B63="","",IF($B$2="R&amp;T Level 5 - Clinical Lecturers (Vet School)",SUMIF('Points Lookup'!$V:$V,$B63,'Points Lookup'!$W:$W),IF($B$2="R&amp;T Level 6 - Clinical Associate Professors and Clinical Readers (Vet School)",SUMIF('Points Lookup'!$AC:$AC,$B63,'Points Lookup'!$AD:$AD),"")))</f>
        <v/>
      </c>
      <c r="T63" s="84" t="str">
        <f ca="1">IF(B63="","",IF($B$2="R&amp;T Level 5 - Clinical Lecturers (Vet School)",$C63-SUMIF('Points Lookup'!$V:$V,$B63,'Points Lookup'!$X:$X),IF($B$2="R&amp;T Level 6 - Clinical Associate Professors and Clinical Readers (Vet School)",$C63-SUMIF('Points Lookup'!$AC:$AC,$B63,'Points Lookup'!$AE:$AE),"")))</f>
        <v/>
      </c>
      <c r="U63" s="83" t="str">
        <f ca="1">IF(B63="","",IF($B$2="R&amp;T Level 5 - Clinical Lecturers (Vet School)",SUMIF('Points Lookup'!$V:$V,$B63,'Points Lookup'!$Z:$Z),IF($B$2="R&amp;T Level 6 - Clinical Associate Professors and Clinical Readers (Vet School)",SUMIF('Points Lookup'!$AC:$AC,$B63,'Points Lookup'!$AG:$AG),"")))</f>
        <v/>
      </c>
      <c r="V63" s="84" t="str">
        <f t="shared" ca="1" si="5"/>
        <v/>
      </c>
      <c r="AA63" s="39">
        <v>57</v>
      </c>
    </row>
    <row r="64" spans="2:27" x14ac:dyDescent="0.25">
      <c r="B64" s="68" t="str">
        <f ca="1">IFERROR(INDEX('Points Lookup'!$A:$A,MATCH($AA66,'Points Lookup'!$AN:$AN,0)),"")</f>
        <v/>
      </c>
      <c r="C64" s="81" t="str">
        <f ca="1">IF(B64="","",IF($B$2="Apprenticeship",SUMIF('Points Lookup'!$AJ:$AJ,B64,'Points Lookup'!$AL:$AL),IF(AND(OR($B$2="New Consultant Contract"),$B64&lt;&gt;""),INDEX('Points Lookup'!$T:$T,MATCH($B64,'Points Lookup'!$S:$S,0)),IF(AND(OR($B$2="Clinical Lecturer / Medical Research Fellow",$B$2="Clinical Consultant - Old Contract (GP)"),$B64&lt;&gt;""),INDEX('Points Lookup'!$Q:$Q,MATCH($B64,'Points Lookup'!$P:$P,0)),IF(AND(OR($B$2="APM Level 7",$B$2="R&amp;T Level 7",$B$2="APM Level 8",$B$2="Technical Services Level 7"),B64&lt;&gt;""),INDEX('Points Lookup'!$H:$H,MATCH($AA64,'Points Lookup'!$AN:$AN,0)),IF($B$2="R&amp;T Level 5 - Clinical Lecturers (Vet School)",SUMIF('Points Lookup'!$V:$V,$B64,'Points Lookup'!$Y:$Y),IF($B$2="R&amp;T Level 6 - Clinical Associate Professors and Clinical Readers (Vet School)",SUMIF('Points Lookup'!$AC:$AC,$B64,'Points Lookup'!$AF:$AF),IFERROR(INDEX('Points Lookup'!$B:$B,MATCH($AA64,'Points Lookup'!$AN:$AN,0)),""))))))))</f>
        <v/>
      </c>
      <c r="D64" s="81"/>
      <c r="E64" s="81"/>
      <c r="F64" s="81" t="str">
        <f ca="1">IF($B64="","",IF(AND($B$2="Salary Points 3 to 57",B64&lt;Thresholds_Rates!$C$16),"-",IF(SUMIF(Grades!$A:$A,$B$2,Grades!$BO:$BO)=0,"-",IF(AND($B$2="Salary Points 3 to 57",B64&gt;=Thresholds_Rates!$C$16),$C64*Thresholds_Rates!$F$15,IF(AND(OR($B$2="New Consultant Contract"),$B64&lt;&gt;""),$C64*Thresholds_Rates!$F$15,IF(AND(OR($B$2="Clinical Lecturer / Medical Research Fellow",$B$2="Clinical Consultant - Old Contract (GP)"),$B64&lt;&gt;""),$C64*Thresholds_Rates!$F$15,IF(OR($B$2="APM Level 7",$B$2="R&amp;T Level 7"),$C64*Thresholds_Rates!$F$15,IF(SUMIF(Grades!$A:$A,$B$2,Grades!$BO:$BO)=1,$C64*Thresholds_Rates!$F$15,""))))))))</f>
        <v/>
      </c>
      <c r="G64" s="81" t="str">
        <f ca="1">IF(B64="","",IF($B$2="Salary Points 1 to 57","-",IF(SUMIF(Grades!$A:$A,$B$2,Grades!$BP:$BP)=0,"-",IF(AND(OR($B$2="New Consultant Contract"),$B64&lt;&gt;""),$C64*Thresholds_Rates!$F$16,IF(AND(OR($B$2="Clinical Lecturer / Medical Research Fellow",$B$2="Clinical Consultant - Old Contract (GP)"),$B64&lt;&gt;""),$C64*Thresholds_Rates!$F$16,IF(AND(OR($B$2="APM Level 7",$B$2="R&amp;T Level 7"),F64&lt;&gt;""),$C64*Thresholds_Rates!$F$16,IF(SUMIF(Grades!$A:$A,$B$2,Grades!$BP:$BP)=1,$C64*Thresholds_Rates!$F$16,"")))))))</f>
        <v/>
      </c>
      <c r="H64" s="81" t="str">
        <f ca="1">IF(B64="","",IF(SUMIF(Grades!$A:$A,$B$2,Grades!$BQ:$BQ)=0,"-",IF(AND($B$2="Salary Points 1 to 57",B64&gt;Thresholds_Rates!$C$17),"-",IF(AND($B$2="Salary Points 1 to 57",B64&lt;=Thresholds_Rates!$C$17),$C64*Thresholds_Rates!$F$17,IF(AND(OR($B$2="New Consultant Contract"),$B64&lt;&gt;""),$C64*Thresholds_Rates!$F$17,IF(AND(OR($B$2="Clinical Lecturer / Medical Research Fellow",$B$2="Clinical Consultant - Old Contract (GP)"),$B64&lt;&gt;""),$C64*Thresholds_Rates!$F$17,IF(AND(OR($B$2="APM Level 7",$B$2="R&amp;T Level 7"),G64&lt;&gt;""),$C64*Thresholds_Rates!$F$17,IF(SUMIF(Grades!$A:$A,$B$2,Grades!$BQ:$BQ)=1,$C64*Thresholds_Rates!$F$17,""))))))))</f>
        <v/>
      </c>
      <c r="I64" s="81" t="str">
        <f ca="1">IF($B64="","",ROUND(($C64-(Thresholds_Rates!$C$5*12))*Thresholds_Rates!$C$10,0))</f>
        <v/>
      </c>
      <c r="J64" s="81" t="str">
        <f ca="1">IF(B64="","",(C64*Thresholds_Rates!$C$12))</f>
        <v/>
      </c>
      <c r="K64" s="81" t="str">
        <f ca="1">IF(B64="","",IF(AND($B$2="Salary Points 1 to 57",B64&gt;Thresholds_Rates!$C$17),"-",IF(SUMIF(Grades!$A:$A,$B$2,Grades!$BR:$BR)=0,"-",IF(AND($B$2="Salary Points 1 to 57",B64&lt;=Thresholds_Rates!$C$17),$C64*Thresholds_Rates!$F$18,IF(AND(OR($B$2="New Consultant Contract"),$B64&lt;&gt;""),$C64*Thresholds_Rates!$F$18,IF(AND(OR($B$2="Clinical Lecturer / Medical Research Fellow",$B$2="Clinical Consultant - Old Contract (GP)"),$B64&lt;&gt;""),$C64*Thresholds_Rates!$F$18,IF(AND(OR($B$2="APM Level 7",$B$2="R&amp;T Level 7"),I64&lt;&gt;""),$C64*Thresholds_Rates!$F$18,IF(SUMIF(Grades!$A:$A,$B$2,Grades!$BQ:$BQ)=1,$C64*Thresholds_Rates!$F$18,""))))))))</f>
        <v/>
      </c>
      <c r="L64" s="68"/>
      <c r="M64" s="81" t="str">
        <f t="shared" ca="1" si="0"/>
        <v/>
      </c>
      <c r="N64" s="81" t="str">
        <f t="shared" ca="1" si="1"/>
        <v/>
      </c>
      <c r="O64" s="81" t="str">
        <f t="shared" ca="1" si="2"/>
        <v/>
      </c>
      <c r="P64" s="81" t="str">
        <f t="shared" ca="1" si="3"/>
        <v/>
      </c>
      <c r="Q64" s="81" t="str">
        <f t="shared" ca="1" si="4"/>
        <v/>
      </c>
      <c r="S64" s="83" t="str">
        <f ca="1">IF(B64="","",IF($B$2="R&amp;T Level 5 - Clinical Lecturers (Vet School)",SUMIF('Points Lookup'!$V:$V,$B64,'Points Lookup'!$W:$W),IF($B$2="R&amp;T Level 6 - Clinical Associate Professors and Clinical Readers (Vet School)",SUMIF('Points Lookup'!$AC:$AC,$B64,'Points Lookup'!$AD:$AD),"")))</f>
        <v/>
      </c>
      <c r="T64" s="84" t="str">
        <f ca="1">IF(B64="","",IF($B$2="R&amp;T Level 5 - Clinical Lecturers (Vet School)",$C64-SUMIF('Points Lookup'!$V:$V,$B64,'Points Lookup'!$X:$X),IF($B$2="R&amp;T Level 6 - Clinical Associate Professors and Clinical Readers (Vet School)",$C64-SUMIF('Points Lookup'!$AC:$AC,$B64,'Points Lookup'!$AE:$AE),"")))</f>
        <v/>
      </c>
      <c r="U64" s="83" t="str">
        <f ca="1">IF(B64="","",IF($B$2="R&amp;T Level 5 - Clinical Lecturers (Vet School)",SUMIF('Points Lookup'!$V:$V,$B64,'Points Lookup'!$Z:$Z),IF($B$2="R&amp;T Level 6 - Clinical Associate Professors and Clinical Readers (Vet School)",SUMIF('Points Lookup'!$AC:$AC,$B64,'Points Lookup'!$AG:$AG),"")))</f>
        <v/>
      </c>
      <c r="V64" s="84" t="str">
        <f t="shared" ca="1" si="5"/>
        <v/>
      </c>
    </row>
    <row r="65" spans="2:22" x14ac:dyDescent="0.25">
      <c r="B65" s="68" t="str">
        <f ca="1">IFERROR(INDEX('Points Lookup'!$A:$A,MATCH($AA67,'Points Lookup'!$AN:$AN,0)),"")</f>
        <v/>
      </c>
      <c r="C65" s="81" t="str">
        <f ca="1">IF(B65="","",IF($B$2="Apprenticeship",SUMIF('Points Lookup'!$AJ:$AJ,B65,'Points Lookup'!$AL:$AL),IF(AND(OR($B$2="New Consultant Contract"),$B65&lt;&gt;""),INDEX('Points Lookup'!$T:$T,MATCH($B65,'Points Lookup'!$S:$S,0)),IF(AND(OR($B$2="Clinical Lecturer / Medical Research Fellow",$B$2="Clinical Consultant - Old Contract (GP)"),$B65&lt;&gt;""),INDEX('Points Lookup'!$Q:$Q,MATCH($B65,'Points Lookup'!$P:$P,0)),IF(AND(OR($B$2="APM Level 7",$B$2="R&amp;T Level 7",$B$2="APM Level 8",$B$2="Technical Services Level 7"),B65&lt;&gt;""),INDEX('Points Lookup'!$H:$H,MATCH($AA65,'Points Lookup'!$AN:$AN,0)),IF($B$2="R&amp;T Level 5 - Clinical Lecturers (Vet School)",SUMIF('Points Lookup'!$V:$V,$B65,'Points Lookup'!$Y:$Y),IF($B$2="R&amp;T Level 6 - Clinical Associate Professors and Clinical Readers (Vet School)",SUMIF('Points Lookup'!$AC:$AC,$B65,'Points Lookup'!$AF:$AF),IFERROR(INDEX('Points Lookup'!$B:$B,MATCH($AA65,'Points Lookup'!$AN:$AN,0)),""))))))))</f>
        <v/>
      </c>
      <c r="D65" s="81"/>
      <c r="E65" s="81"/>
      <c r="F65" s="81" t="str">
        <f ca="1">IF($B65="","",IF(AND($B$2="Salary Points 3 to 57",B65&lt;Thresholds_Rates!$C$16),"-",IF(SUMIF(Grades!$A:$A,$B$2,Grades!$BO:$BO)=0,"-",IF(AND($B$2="Salary Points 3 to 57",B65&gt;=Thresholds_Rates!$C$16),$C65*Thresholds_Rates!$F$15,IF(AND(OR($B$2="New Consultant Contract"),$B65&lt;&gt;""),$C65*Thresholds_Rates!$F$15,IF(AND(OR($B$2="Clinical Lecturer / Medical Research Fellow",$B$2="Clinical Consultant - Old Contract (GP)"),$B65&lt;&gt;""),$C65*Thresholds_Rates!$F$15,IF(OR($B$2="APM Level 7",$B$2="R&amp;T Level 7"),$C65*Thresholds_Rates!$F$15,IF(SUMIF(Grades!$A:$A,$B$2,Grades!$BO:$BO)=1,$C65*Thresholds_Rates!$F$15,""))))))))</f>
        <v/>
      </c>
      <c r="G65" s="81" t="str">
        <f ca="1">IF(B65="","",IF($B$2="Salary Points 1 to 57","-",IF(SUMIF(Grades!$A:$A,$B$2,Grades!$BP:$BP)=0,"-",IF(AND(OR($B$2="New Consultant Contract"),$B65&lt;&gt;""),$C65*Thresholds_Rates!$F$16,IF(AND(OR($B$2="Clinical Lecturer / Medical Research Fellow",$B$2="Clinical Consultant - Old Contract (GP)"),$B65&lt;&gt;""),$C65*Thresholds_Rates!$F$16,IF(AND(OR($B$2="APM Level 7",$B$2="R&amp;T Level 7"),F65&lt;&gt;""),$C65*Thresholds_Rates!$F$16,IF(SUMIF(Grades!$A:$A,$B$2,Grades!$BP:$BP)=1,$C65*Thresholds_Rates!$F$16,"")))))))</f>
        <v/>
      </c>
      <c r="H65" s="81" t="str">
        <f ca="1">IF(B65="","",IF(SUMIF(Grades!$A:$A,$B$2,Grades!$BQ:$BQ)=0,"-",IF(AND($B$2="Salary Points 1 to 57",B65&gt;Thresholds_Rates!$C$17),"-",IF(AND($B$2="Salary Points 1 to 57",B65&lt;=Thresholds_Rates!$C$17),$C65*Thresholds_Rates!$F$17,IF(AND(OR($B$2="New Consultant Contract"),$B65&lt;&gt;""),$C65*Thresholds_Rates!$F$17,IF(AND(OR($B$2="Clinical Lecturer / Medical Research Fellow",$B$2="Clinical Consultant - Old Contract (GP)"),$B65&lt;&gt;""),$C65*Thresholds_Rates!$F$17,IF(AND(OR($B$2="APM Level 7",$B$2="R&amp;T Level 7"),G65&lt;&gt;""),$C65*Thresholds_Rates!$F$17,IF(SUMIF(Grades!$A:$A,$B$2,Grades!$BQ:$BQ)=1,$C65*Thresholds_Rates!$F$17,""))))))))</f>
        <v/>
      </c>
      <c r="I65" s="81" t="str">
        <f ca="1">IF($B65="","",ROUND(($C65-(Thresholds_Rates!$C$5*12))*Thresholds_Rates!$C$10,0))</f>
        <v/>
      </c>
      <c r="J65" s="81" t="str">
        <f ca="1">IF(B65="","",(C65*Thresholds_Rates!$C$12))</f>
        <v/>
      </c>
      <c r="K65" s="81" t="str">
        <f ca="1">IF(B65="","",IF(AND($B$2="Salary Points 1 to 57",B65&gt;Thresholds_Rates!$C$17),"-",IF(SUMIF(Grades!$A:$A,$B$2,Grades!$BR:$BR)=0,"-",IF(AND($B$2="Salary Points 1 to 57",B65&lt;=Thresholds_Rates!$C$17),$C65*Thresholds_Rates!$F$18,IF(AND(OR($B$2="New Consultant Contract"),$B65&lt;&gt;""),$C65*Thresholds_Rates!$F$18,IF(AND(OR($B$2="Clinical Lecturer / Medical Research Fellow",$B$2="Clinical Consultant - Old Contract (GP)"),$B65&lt;&gt;""),$C65*Thresholds_Rates!$F$18,IF(AND(OR($B$2="APM Level 7",$B$2="R&amp;T Level 7"),I65&lt;&gt;""),$C65*Thresholds_Rates!$F$18,IF(SUMIF(Grades!$A:$A,$B$2,Grades!$BQ:$BQ)=1,$C65*Thresholds_Rates!$F$18,""))))))))</f>
        <v/>
      </c>
      <c r="L65" s="68"/>
      <c r="M65" s="81" t="str">
        <f t="shared" ca="1" si="0"/>
        <v/>
      </c>
      <c r="N65" s="81" t="str">
        <f t="shared" ca="1" si="1"/>
        <v/>
      </c>
      <c r="O65" s="81" t="str">
        <f t="shared" ca="1" si="2"/>
        <v/>
      </c>
      <c r="P65" s="81" t="str">
        <f t="shared" ca="1" si="3"/>
        <v/>
      </c>
      <c r="Q65" s="81" t="str">
        <f t="shared" ca="1" si="4"/>
        <v/>
      </c>
      <c r="S65" s="83" t="str">
        <f ca="1">IF(B65="","",IF($B$2="R&amp;T Level 5 - Clinical Lecturers (Vet School)",SUMIF('Points Lookup'!$V:$V,$B65,'Points Lookup'!$W:$W),IF($B$2="R&amp;T Level 6 - Clinical Associate Professors and Clinical Readers (Vet School)",SUMIF('Points Lookup'!$AC:$AC,$B65,'Points Lookup'!$AD:$AD),"")))</f>
        <v/>
      </c>
      <c r="T65" s="84" t="str">
        <f ca="1">IF(B65="","",IF($B$2="R&amp;T Level 5 - Clinical Lecturers (Vet School)",$C65-SUMIF('Points Lookup'!$V:$V,$B65,'Points Lookup'!$X:$X),IF($B$2="R&amp;T Level 6 - Clinical Associate Professors and Clinical Readers (Vet School)",$C65-SUMIF('Points Lookup'!$AC:$AC,$B65,'Points Lookup'!$AE:$AE),"")))</f>
        <v/>
      </c>
      <c r="U65" s="83" t="str">
        <f ca="1">IF(B65="","",IF($B$2="R&amp;T Level 5 - Clinical Lecturers (Vet School)",SUMIF('Points Lookup'!$V:$V,$B65,'Points Lookup'!$Z:$Z),IF($B$2="R&amp;T Level 6 - Clinical Associate Professors and Clinical Readers (Vet School)",SUMIF('Points Lookup'!$AC:$AC,$B65,'Points Lookup'!$AG:$AG),"")))</f>
        <v/>
      </c>
      <c r="V65" s="84" t="str">
        <f t="shared" ca="1" si="5"/>
        <v/>
      </c>
    </row>
    <row r="66" spans="2:22" x14ac:dyDescent="0.25">
      <c r="B66" s="68" t="str">
        <f ca="1">IFERROR(INDEX('Points Lookup'!$A:$A,MATCH($AA68,'Points Lookup'!$AN:$AN,0)),"")</f>
        <v/>
      </c>
      <c r="C66" s="81" t="str">
        <f ca="1">IF(B66="","",IF($B$2="Apprenticeship",SUMIF('Points Lookup'!$AJ:$AJ,B66,'Points Lookup'!$AL:$AL),IF(AND(OR($B$2="New Consultant Contract"),$B66&lt;&gt;""),INDEX('Points Lookup'!$T:$T,MATCH($B66,'Points Lookup'!$S:$S,0)),IF(AND(OR($B$2="Clinical Lecturer / Medical Research Fellow",$B$2="Clinical Consultant - Old Contract (GP)"),$B66&lt;&gt;""),INDEX('Points Lookup'!$Q:$Q,MATCH($B66,'Points Lookup'!$P:$P,0)),IF(AND(OR($B$2="APM Level 7",$B$2="R&amp;T Level 7",$B$2="APM Level 8",$B$2="Technical Services Level 7"),B66&lt;&gt;""),INDEX('Points Lookup'!$H:$H,MATCH($AA66,'Points Lookup'!$AN:$AN,0)),IF($B$2="R&amp;T Level 5 - Clinical Lecturers (Vet School)",SUMIF('Points Lookup'!$V:$V,$B66,'Points Lookup'!$Y:$Y),IF($B$2="R&amp;T Level 6 - Clinical Associate Professors and Clinical Readers (Vet School)",SUMIF('Points Lookup'!$AC:$AC,$B66,'Points Lookup'!$AF:$AF),IFERROR(INDEX('Points Lookup'!$B:$B,MATCH($AA66,'Points Lookup'!$AN:$AN,0)),""))))))))</f>
        <v/>
      </c>
      <c r="D66" s="81"/>
      <c r="E66" s="81"/>
      <c r="F66" s="81" t="str">
        <f ca="1">IF($B66="","",IF(AND($B$2="Salary Points 3 to 57",B66&lt;Thresholds_Rates!$C$16),"-",IF(SUMIF(Grades!$A:$A,$B$2,Grades!$BO:$BO)=0,"-",IF(AND($B$2="Salary Points 3 to 57",B66&gt;=Thresholds_Rates!$C$16),$C66*Thresholds_Rates!$F$15,IF(AND(OR($B$2="New Consultant Contract"),$B66&lt;&gt;""),$C66*Thresholds_Rates!$F$15,IF(AND(OR($B$2="Clinical Lecturer / Medical Research Fellow",$B$2="Clinical Consultant - Old Contract (GP)"),$B66&lt;&gt;""),$C66*Thresholds_Rates!$F$15,IF(OR($B$2="APM Level 7",$B$2="R&amp;T Level 7"),$C66*Thresholds_Rates!$F$15,IF(SUMIF(Grades!$A:$A,$B$2,Grades!$BO:$BO)=1,$C66*Thresholds_Rates!$F$15,""))))))))</f>
        <v/>
      </c>
      <c r="G66" s="81" t="str">
        <f ca="1">IF(B66="","",IF($B$2="Salary Points 1 to 57","-",IF(SUMIF(Grades!$A:$A,$B$2,Grades!$BP:$BP)=0,"-",IF(AND(OR($B$2="New Consultant Contract"),$B66&lt;&gt;""),$C66*Thresholds_Rates!$F$16,IF(AND(OR($B$2="Clinical Lecturer / Medical Research Fellow",$B$2="Clinical Consultant - Old Contract (GP)"),$B66&lt;&gt;""),$C66*Thresholds_Rates!$F$16,IF(AND(OR($B$2="APM Level 7",$B$2="R&amp;T Level 7"),F66&lt;&gt;""),$C66*Thresholds_Rates!$F$16,IF(SUMIF(Grades!$A:$A,$B$2,Grades!$BP:$BP)=1,$C66*Thresholds_Rates!$F$16,"")))))))</f>
        <v/>
      </c>
      <c r="H66" s="81" t="str">
        <f ca="1">IF(B66="","",IF(SUMIF(Grades!$A:$A,$B$2,Grades!$BQ:$BQ)=0,"-",IF(AND($B$2="Salary Points 1 to 57",B66&gt;Thresholds_Rates!$C$17),"-",IF(AND($B$2="Salary Points 1 to 57",B66&lt;=Thresholds_Rates!$C$17),$C66*Thresholds_Rates!$F$17,IF(AND(OR($B$2="New Consultant Contract"),$B66&lt;&gt;""),$C66*Thresholds_Rates!$F$17,IF(AND(OR($B$2="Clinical Lecturer / Medical Research Fellow",$B$2="Clinical Consultant - Old Contract (GP)"),$B66&lt;&gt;""),$C66*Thresholds_Rates!$F$17,IF(AND(OR($B$2="APM Level 7",$B$2="R&amp;T Level 7"),G66&lt;&gt;""),$C66*Thresholds_Rates!$F$17,IF(SUMIF(Grades!$A:$A,$B$2,Grades!$BQ:$BQ)=1,$C66*Thresholds_Rates!$F$17,""))))))))</f>
        <v/>
      </c>
      <c r="I66" s="81" t="str">
        <f ca="1">IF($B66="","",ROUND(($C66-(Thresholds_Rates!$C$5*12))*Thresholds_Rates!$C$10,0))</f>
        <v/>
      </c>
      <c r="J66" s="81" t="str">
        <f ca="1">IF(B66="","",(C66*Thresholds_Rates!$C$12))</f>
        <v/>
      </c>
      <c r="K66" s="81" t="str">
        <f ca="1">IF(B66="","",IF(AND($B$2="Salary Points 1 to 57",B66&gt;Thresholds_Rates!$C$17),"-",IF(SUMIF(Grades!$A:$A,$B$2,Grades!$BR:$BR)=0,"-",IF(AND($B$2="Salary Points 1 to 57",B66&lt;=Thresholds_Rates!$C$17),$C66*Thresholds_Rates!$F$18,IF(AND(OR($B$2="New Consultant Contract"),$B66&lt;&gt;""),$C66*Thresholds_Rates!$F$18,IF(AND(OR($B$2="Clinical Lecturer / Medical Research Fellow",$B$2="Clinical Consultant - Old Contract (GP)"),$B66&lt;&gt;""),$C66*Thresholds_Rates!$F$18,IF(AND(OR($B$2="APM Level 7",$B$2="R&amp;T Level 7"),I66&lt;&gt;""),$C66*Thresholds_Rates!$F$18,IF(SUMIF(Grades!$A:$A,$B$2,Grades!$BQ:$BQ)=1,$C66*Thresholds_Rates!$F$18,""))))))))</f>
        <v/>
      </c>
      <c r="L66" s="68"/>
      <c r="M66" s="81" t="str">
        <f t="shared" ca="1" si="0"/>
        <v/>
      </c>
      <c r="N66" s="81" t="str">
        <f t="shared" ca="1" si="1"/>
        <v/>
      </c>
      <c r="O66" s="81" t="str">
        <f t="shared" ca="1" si="2"/>
        <v/>
      </c>
      <c r="P66" s="81" t="str">
        <f t="shared" ca="1" si="3"/>
        <v/>
      </c>
      <c r="Q66" s="81" t="str">
        <f t="shared" ca="1" si="4"/>
        <v/>
      </c>
      <c r="S66" s="83" t="str">
        <f ca="1">IF(B66="","",IF($B$2="R&amp;T Level 5 - Clinical Lecturers (Vet School)",SUMIF('Points Lookup'!$V:$V,$B66,'Points Lookup'!$W:$W),IF($B$2="R&amp;T Level 6 - Clinical Associate Professors and Clinical Readers (Vet School)",SUMIF('Points Lookup'!$AC:$AC,$B66,'Points Lookup'!$AD:$AD),"")))</f>
        <v/>
      </c>
      <c r="T66" s="84" t="str">
        <f ca="1">IF(B66="","",IF($B$2="R&amp;T Level 5 - Clinical Lecturers (Vet School)",$C66-SUMIF('Points Lookup'!$V:$V,$B66,'Points Lookup'!$X:$X),IF($B$2="R&amp;T Level 6 - Clinical Associate Professors and Clinical Readers (Vet School)",$C66-SUMIF('Points Lookup'!$AC:$AC,$B66,'Points Lookup'!$AE:$AE),"")))</f>
        <v/>
      </c>
      <c r="U66" s="83" t="str">
        <f ca="1">IF(B66="","",IF($B$2="R&amp;T Level 5 - Clinical Lecturers (Vet School)",SUMIF('Points Lookup'!$V:$V,$B66,'Points Lookup'!$Z:$Z),IF($B$2="R&amp;T Level 6 - Clinical Associate Professors and Clinical Readers (Vet School)",SUMIF('Points Lookup'!$AC:$AC,$B66,'Points Lookup'!$AG:$AG),"")))</f>
        <v/>
      </c>
      <c r="V66" s="84" t="str">
        <f t="shared" ca="1" si="5"/>
        <v/>
      </c>
    </row>
    <row r="67" spans="2:22" x14ac:dyDescent="0.25">
      <c r="B67" s="68" t="str">
        <f ca="1">IFERROR(INDEX('Points Lookup'!$A:$A,MATCH($AA69,'Points Lookup'!$AN:$AN,0)),"")</f>
        <v/>
      </c>
      <c r="C67" s="81" t="str">
        <f ca="1">IF(B67="","",IF($B$2="Apprenticeship",SUMIF('Points Lookup'!$AJ:$AJ,B67,'Points Lookup'!$AL:$AL),IF(AND(OR($B$2="New Consultant Contract"),$B67&lt;&gt;""),INDEX('Points Lookup'!$T:$T,MATCH($B67,'Points Lookup'!$S:$S,0)),IF(AND(OR($B$2="Clinical Lecturer / Medical Research Fellow",$B$2="Clinical Consultant - Old Contract (GP)"),$B67&lt;&gt;""),INDEX('Points Lookup'!$Q:$Q,MATCH($B67,'Points Lookup'!$P:$P,0)),IF(AND(OR($B$2="APM Level 7",$B$2="R&amp;T Level 7",$B$2="APM Level 8",$B$2="Technical Services Level 7"),B67&lt;&gt;""),INDEX('Points Lookup'!$H:$H,MATCH($AA67,'Points Lookup'!$AN:$AN,0)),IF($B$2="R&amp;T Level 5 - Clinical Lecturers (Vet School)",SUMIF('Points Lookup'!$V:$V,$B67,'Points Lookup'!$Y:$Y),IF($B$2="R&amp;T Level 6 - Clinical Associate Professors and Clinical Readers (Vet School)",SUMIF('Points Lookup'!$AC:$AC,$B67,'Points Lookup'!$AF:$AF),IFERROR(INDEX('Points Lookup'!$B:$B,MATCH($AA67,'Points Lookup'!$AN:$AN,0)),""))))))))</f>
        <v/>
      </c>
      <c r="D67" s="81"/>
      <c r="E67" s="81"/>
      <c r="F67" s="81" t="str">
        <f ca="1">IF($B67="","",IF(AND($B$2="Salary Points 3 to 57",B67&lt;Thresholds_Rates!$C$16),"-",IF(SUMIF(Grades!$A:$A,$B$2,Grades!$BO:$BO)=0,"-",IF(AND($B$2="Salary Points 3 to 57",B67&gt;=Thresholds_Rates!$C$16),$C67*Thresholds_Rates!$F$15,IF(AND(OR($B$2="New Consultant Contract"),$B67&lt;&gt;""),$C67*Thresholds_Rates!$F$15,IF(AND(OR($B$2="Clinical Lecturer / Medical Research Fellow",$B$2="Clinical Consultant - Old Contract (GP)"),$B67&lt;&gt;""),$C67*Thresholds_Rates!$F$15,IF(OR($B$2="APM Level 7",$B$2="R&amp;T Level 7"),$C67*Thresholds_Rates!$F$15,IF(SUMIF(Grades!$A:$A,$B$2,Grades!$BO:$BO)=1,$C67*Thresholds_Rates!$F$15,""))))))))</f>
        <v/>
      </c>
      <c r="G67" s="81" t="str">
        <f ca="1">IF(B67="","",IF($B$2="Salary Points 1 to 57","-",IF(SUMIF(Grades!$A:$A,$B$2,Grades!$BP:$BP)=0,"-",IF(AND(OR($B$2="New Consultant Contract"),$B67&lt;&gt;""),$C67*Thresholds_Rates!$F$16,IF(AND(OR($B$2="Clinical Lecturer / Medical Research Fellow",$B$2="Clinical Consultant - Old Contract (GP)"),$B67&lt;&gt;""),$C67*Thresholds_Rates!$F$16,IF(AND(OR($B$2="APM Level 7",$B$2="R&amp;T Level 7"),F67&lt;&gt;""),$C67*Thresholds_Rates!$F$16,IF(SUMIF(Grades!$A:$A,$B$2,Grades!$BP:$BP)=1,$C67*Thresholds_Rates!$F$16,"")))))))</f>
        <v/>
      </c>
      <c r="H67" s="81" t="str">
        <f ca="1">IF(B67="","",IF(SUMIF(Grades!$A:$A,$B$2,Grades!$BQ:$BQ)=0,"-",IF(AND($B$2="Salary Points 1 to 57",B67&gt;Thresholds_Rates!$C$17),"-",IF(AND($B$2="Salary Points 1 to 57",B67&lt;=Thresholds_Rates!$C$17),$C67*Thresholds_Rates!$F$17,IF(AND(OR($B$2="New Consultant Contract"),$B67&lt;&gt;""),$C67*Thresholds_Rates!$F$17,IF(AND(OR($B$2="Clinical Lecturer / Medical Research Fellow",$B$2="Clinical Consultant - Old Contract (GP)"),$B67&lt;&gt;""),$C67*Thresholds_Rates!$F$17,IF(AND(OR($B$2="APM Level 7",$B$2="R&amp;T Level 7"),G67&lt;&gt;""),$C67*Thresholds_Rates!$F$17,IF(SUMIF(Grades!$A:$A,$B$2,Grades!$BQ:$BQ)=1,$C67*Thresholds_Rates!$F$17,""))))))))</f>
        <v/>
      </c>
      <c r="I67" s="81" t="str">
        <f ca="1">IF($B67="","",ROUND(($C67-(Thresholds_Rates!$C$5*12))*Thresholds_Rates!$C$10,0))</f>
        <v/>
      </c>
      <c r="J67" s="81" t="str">
        <f ca="1">IF(B67="","",(C67*Thresholds_Rates!$C$12))</f>
        <v/>
      </c>
      <c r="K67" s="81" t="str">
        <f ca="1">IF(B67="","",IF(AND($B$2="Salary Points 1 to 57",B67&gt;Thresholds_Rates!$C$17),"-",IF(SUMIF(Grades!$A:$A,$B$2,Grades!$BR:$BR)=0,"-",IF(AND($B$2="Salary Points 1 to 57",B67&lt;=Thresholds_Rates!$C$17),$C67*Thresholds_Rates!$F$18,IF(AND(OR($B$2="New Consultant Contract"),$B67&lt;&gt;""),$C67*Thresholds_Rates!$F$18,IF(AND(OR($B$2="Clinical Lecturer / Medical Research Fellow",$B$2="Clinical Consultant - Old Contract (GP)"),$B67&lt;&gt;""),$C67*Thresholds_Rates!$F$18,IF(AND(OR($B$2="APM Level 7",$B$2="R&amp;T Level 7"),I67&lt;&gt;""),$C67*Thresholds_Rates!$F$18,IF(SUMIF(Grades!$A:$A,$B$2,Grades!$BQ:$BQ)=1,$C67*Thresholds_Rates!$F$18,""))))))))</f>
        <v/>
      </c>
      <c r="L67" s="68"/>
      <c r="M67" s="81" t="str">
        <f t="shared" ca="1" si="0"/>
        <v/>
      </c>
      <c r="N67" s="81" t="str">
        <f t="shared" ca="1" si="1"/>
        <v/>
      </c>
      <c r="O67" s="81" t="str">
        <f t="shared" ca="1" si="2"/>
        <v/>
      </c>
      <c r="P67" s="81" t="str">
        <f t="shared" ca="1" si="3"/>
        <v/>
      </c>
      <c r="Q67" s="81" t="str">
        <f t="shared" ca="1" si="4"/>
        <v/>
      </c>
      <c r="S67" s="83" t="str">
        <f ca="1">IF(B67="","",IF($B$2="R&amp;T Level 5 - Clinical Lecturers (Vet School)",SUMIF('Points Lookup'!$V:$V,$B67,'Points Lookup'!$W:$W),IF($B$2="R&amp;T Level 6 - Clinical Associate Professors and Clinical Readers (Vet School)",SUMIF('Points Lookup'!$AC:$AC,$B67,'Points Lookup'!$AD:$AD),"")))</f>
        <v/>
      </c>
      <c r="T67" s="84" t="str">
        <f ca="1">IF(B67="","",IF($B$2="R&amp;T Level 5 - Clinical Lecturers (Vet School)",$C67-SUMIF('Points Lookup'!$V:$V,$B67,'Points Lookup'!$X:$X),IF($B$2="R&amp;T Level 6 - Clinical Associate Professors and Clinical Readers (Vet School)",$C67-SUMIF('Points Lookup'!$AC:$AC,$B67,'Points Lookup'!$AE:$AE),"")))</f>
        <v/>
      </c>
      <c r="U67" s="83" t="str">
        <f ca="1">IF(B67="","",IF($B$2="R&amp;T Level 5 - Clinical Lecturers (Vet School)",SUMIF('Points Lookup'!$V:$V,$B67,'Points Lookup'!$Z:$Z),IF($B$2="R&amp;T Level 6 - Clinical Associate Professors and Clinical Readers (Vet School)",SUMIF('Points Lookup'!$AC:$AC,$B67,'Points Lookup'!$AG:$AG),"")))</f>
        <v/>
      </c>
      <c r="V67" s="84" t="str">
        <f t="shared" ca="1" si="5"/>
        <v/>
      </c>
    </row>
    <row r="68" spans="2:22" x14ac:dyDescent="0.25">
      <c r="B68" s="68" t="str">
        <f ca="1">IFERROR(INDEX('Points Lookup'!$A:$A,MATCH($AA70,'Points Lookup'!$AN:$AN,0)),"")</f>
        <v/>
      </c>
      <c r="C68" s="81" t="str">
        <f ca="1">IF(B68="","",IF($B$2="Apprenticeship",SUMIF('Points Lookup'!$AJ:$AJ,B68,'Points Lookup'!$AL:$AL),IF(AND(OR($B$2="New Consultant Contract"),$B68&lt;&gt;""),INDEX('Points Lookup'!$T:$T,MATCH($B68,'Points Lookup'!$S:$S,0)),IF(AND(OR($B$2="Clinical Lecturer / Medical Research Fellow",$B$2="Clinical Consultant - Old Contract (GP)"),$B68&lt;&gt;""),INDEX('Points Lookup'!$Q:$Q,MATCH($B68,'Points Lookup'!$P:$P,0)),IF(AND(OR($B$2="APM Level 7",$B$2="R&amp;T Level 7",$B$2="APM Level 8",$B$2="Technical Services Level 7"),B68&lt;&gt;""),INDEX('Points Lookup'!$H:$H,MATCH($AA68,'Points Lookup'!$AN:$AN,0)),IF($B$2="R&amp;T Level 5 - Clinical Lecturers (Vet School)",SUMIF('Points Lookup'!$V:$V,$B68,'Points Lookup'!$Y:$Y),IF($B$2="R&amp;T Level 6 - Clinical Associate Professors and Clinical Readers (Vet School)",SUMIF('Points Lookup'!$AC:$AC,$B68,'Points Lookup'!$AF:$AF),IFERROR(INDEX('Points Lookup'!$B:$B,MATCH($AA68,'Points Lookup'!$AN:$AN,0)),""))))))))</f>
        <v/>
      </c>
      <c r="D68" s="81"/>
      <c r="E68" s="81"/>
      <c r="F68" s="81" t="str">
        <f ca="1">IF($B68="","",IF(AND($B$2="Salary Points 3 to 57",B68&lt;Thresholds_Rates!$C$16),"-",IF(SUMIF(Grades!$A:$A,$B$2,Grades!$BO:$BO)=0,"-",IF(AND($B$2="Salary Points 3 to 57",B68&gt;=Thresholds_Rates!$C$16),$C68*Thresholds_Rates!$F$15,IF(AND(OR($B$2="New Consultant Contract"),$B68&lt;&gt;""),$C68*Thresholds_Rates!$F$15,IF(AND(OR($B$2="Clinical Lecturer / Medical Research Fellow",$B$2="Clinical Consultant - Old Contract (GP)"),$B68&lt;&gt;""),$C68*Thresholds_Rates!$F$15,IF(OR($B$2="APM Level 7",$B$2="R&amp;T Level 7"),$C68*Thresholds_Rates!$F$15,IF(SUMIF(Grades!$A:$A,$B$2,Grades!$BO:$BO)=1,$C68*Thresholds_Rates!$F$15,""))))))))</f>
        <v/>
      </c>
      <c r="G68" s="81" t="str">
        <f ca="1">IF(B68="","",IF($B$2="Salary Points 1 to 57","-",IF(SUMIF(Grades!$A:$A,$B$2,Grades!$BP:$BP)=0,"-",IF(AND(OR($B$2="New Consultant Contract"),$B68&lt;&gt;""),$C68*Thresholds_Rates!$F$16,IF(AND(OR($B$2="Clinical Lecturer / Medical Research Fellow",$B$2="Clinical Consultant - Old Contract (GP)"),$B68&lt;&gt;""),$C68*Thresholds_Rates!$F$16,IF(AND(OR($B$2="APM Level 7",$B$2="R&amp;T Level 7"),F68&lt;&gt;""),$C68*Thresholds_Rates!$F$16,IF(SUMIF(Grades!$A:$A,$B$2,Grades!$BP:$BP)=1,$C68*Thresholds_Rates!$F$16,"")))))))</f>
        <v/>
      </c>
      <c r="H68" s="81" t="str">
        <f ca="1">IF(B68="","",IF(SUMIF(Grades!$A:$A,$B$2,Grades!$BQ:$BQ)=0,"-",IF(AND($B$2="Salary Points 1 to 57",B68&gt;Thresholds_Rates!$C$17),"-",IF(AND($B$2="Salary Points 1 to 57",B68&lt;=Thresholds_Rates!$C$17),$C68*Thresholds_Rates!$F$17,IF(AND(OR($B$2="New Consultant Contract"),$B68&lt;&gt;""),$C68*Thresholds_Rates!$F$17,IF(AND(OR($B$2="Clinical Lecturer / Medical Research Fellow",$B$2="Clinical Consultant - Old Contract (GP)"),$B68&lt;&gt;""),$C68*Thresholds_Rates!$F$17,IF(AND(OR($B$2="APM Level 7",$B$2="R&amp;T Level 7"),G68&lt;&gt;""),$C68*Thresholds_Rates!$F$17,IF(SUMIF(Grades!$A:$A,$B$2,Grades!$BQ:$BQ)=1,$C68*Thresholds_Rates!$F$17,""))))))))</f>
        <v/>
      </c>
      <c r="I68" s="81" t="str">
        <f ca="1">IF($B68="","",ROUND(($C68-(Thresholds_Rates!$C$5*12))*Thresholds_Rates!$C$10,0))</f>
        <v/>
      </c>
      <c r="J68" s="81" t="str">
        <f ca="1">IF(B68="","",(C68*Thresholds_Rates!$C$12))</f>
        <v/>
      </c>
      <c r="K68" s="81" t="str">
        <f ca="1">IF(B68="","",IF(AND($B$2="Salary Points 1 to 57",B68&gt;Thresholds_Rates!$C$17),"-",IF(SUMIF(Grades!$A:$A,$B$2,Grades!$BR:$BR)=0,"-",IF(AND($B$2="Salary Points 1 to 57",B68&lt;=Thresholds_Rates!$C$17),$C68*Thresholds_Rates!$F$18,IF(AND(OR($B$2="New Consultant Contract"),$B68&lt;&gt;""),$C68*Thresholds_Rates!$F$18,IF(AND(OR($B$2="Clinical Lecturer / Medical Research Fellow",$B$2="Clinical Consultant - Old Contract (GP)"),$B68&lt;&gt;""),$C68*Thresholds_Rates!$F$18,IF(AND(OR($B$2="APM Level 7",$B$2="R&amp;T Level 7"),I68&lt;&gt;""),$C68*Thresholds_Rates!$F$18,IF(SUMIF(Grades!$A:$A,$B$2,Grades!$BQ:$BQ)=1,$C68*Thresholds_Rates!$F$18,""))))))))</f>
        <v/>
      </c>
      <c r="L68" s="68"/>
      <c r="M68" s="81" t="str">
        <f t="shared" ca="1" si="0"/>
        <v/>
      </c>
      <c r="N68" s="81" t="str">
        <f t="shared" ca="1" si="1"/>
        <v/>
      </c>
      <c r="O68" s="81" t="str">
        <f t="shared" ca="1" si="2"/>
        <v/>
      </c>
      <c r="P68" s="81" t="str">
        <f t="shared" ca="1" si="3"/>
        <v/>
      </c>
      <c r="Q68" s="81" t="str">
        <f t="shared" ca="1" si="4"/>
        <v/>
      </c>
      <c r="S68" s="83" t="str">
        <f ca="1">IF(B68="","",IF($B$2="R&amp;T Level 5 - Clinical Lecturers (Vet School)",SUMIF('Points Lookup'!$V:$V,$B68,'Points Lookup'!$W:$W),IF($B$2="R&amp;T Level 6 - Clinical Associate Professors and Clinical Readers (Vet School)",SUMIF('Points Lookup'!$AC:$AC,$B68,'Points Lookup'!$AD:$AD),"")))</f>
        <v/>
      </c>
      <c r="T68" s="84" t="str">
        <f ca="1">IF(B68="","",IF($B$2="R&amp;T Level 5 - Clinical Lecturers (Vet School)",$C68-SUMIF('Points Lookup'!$V:$V,$B68,'Points Lookup'!$X:$X),IF($B$2="R&amp;T Level 6 - Clinical Associate Professors and Clinical Readers (Vet School)",$C68-SUMIF('Points Lookup'!$AC:$AC,$B68,'Points Lookup'!$AE:$AE),"")))</f>
        <v/>
      </c>
      <c r="U68" s="83" t="str">
        <f ca="1">IF(B68="","",IF($B$2="R&amp;T Level 5 - Clinical Lecturers (Vet School)",SUMIF('Points Lookup'!$V:$V,$B68,'Points Lookup'!$Z:$Z),IF($B$2="R&amp;T Level 6 - Clinical Associate Professors and Clinical Readers (Vet School)",SUMIF('Points Lookup'!$AC:$AC,$B68,'Points Lookup'!$AG:$AG),"")))</f>
        <v/>
      </c>
      <c r="V68" s="84" t="str">
        <f t="shared" ca="1" si="5"/>
        <v/>
      </c>
    </row>
    <row r="69" spans="2:22" x14ac:dyDescent="0.25">
      <c r="B69" s="68" t="str">
        <f ca="1">IFERROR(INDEX('Points Lookup'!$A:$A,MATCH($AA71,'Points Lookup'!$AN:$AN,0)),"")</f>
        <v/>
      </c>
      <c r="C69" s="81" t="str">
        <f ca="1">IF(B69="","",IF($B$2="Apprenticeship",SUMIF('Points Lookup'!$AJ:$AJ,B69,'Points Lookup'!$AL:$AL),IF(AND(OR($B$2="New Consultant Contract"),$B69&lt;&gt;""),INDEX('Points Lookup'!$T:$T,MATCH($B69,'Points Lookup'!$S:$S,0)),IF(AND(OR($B$2="Clinical Lecturer / Medical Research Fellow",$B$2="Clinical Consultant - Old Contract (GP)"),$B69&lt;&gt;""),INDEX('Points Lookup'!$Q:$Q,MATCH($B69,'Points Lookup'!$P:$P,0)),IF(AND(OR($B$2="APM Level 7",$B$2="R&amp;T Level 7",$B$2="APM Level 8",$B$2="Technical Services Level 7"),B69&lt;&gt;""),INDEX('Points Lookup'!$H:$H,MATCH($AA69,'Points Lookup'!$AN:$AN,0)),IF($B$2="R&amp;T Level 5 - Clinical Lecturers (Vet School)",SUMIF('Points Lookup'!$V:$V,$B69,'Points Lookup'!$Y:$Y),IF($B$2="R&amp;T Level 6 - Clinical Associate Professors and Clinical Readers (Vet School)",SUMIF('Points Lookup'!$AC:$AC,$B69,'Points Lookup'!$AF:$AF),IFERROR(INDEX('Points Lookup'!$B:$B,MATCH($AA69,'Points Lookup'!$AN:$AN,0)),""))))))))</f>
        <v/>
      </c>
      <c r="D69" s="81"/>
      <c r="E69" s="81"/>
      <c r="F69" s="81" t="str">
        <f ca="1">IF($B69="","",IF(AND($B$2="Salary Points 3 to 57",B69&lt;Thresholds_Rates!$C$16),"-",IF(SUMIF(Grades!$A:$A,$B$2,Grades!$BO:$BO)=0,"-",IF(AND($B$2="Salary Points 3 to 57",B69&gt;=Thresholds_Rates!$C$16),$C69*Thresholds_Rates!$F$15,IF(AND(OR($B$2="New Consultant Contract"),$B69&lt;&gt;""),$C69*Thresholds_Rates!$F$15,IF(AND(OR($B$2="Clinical Lecturer / Medical Research Fellow",$B$2="Clinical Consultant - Old Contract (GP)"),$B69&lt;&gt;""),$C69*Thresholds_Rates!$F$15,IF(OR($B$2="APM Level 7",$B$2="R&amp;T Level 7"),$C69*Thresholds_Rates!$F$15,IF(SUMIF(Grades!$A:$A,$B$2,Grades!$BO:$BO)=1,$C69*Thresholds_Rates!$F$15,""))))))))</f>
        <v/>
      </c>
      <c r="G69" s="81" t="str">
        <f ca="1">IF(B69="","",IF($B$2="Salary Points 1 to 57","-",IF(SUMIF(Grades!$A:$A,$B$2,Grades!$BP:$BP)=0,"-",IF(AND(OR($B$2="New Consultant Contract"),$B69&lt;&gt;""),$C69*Thresholds_Rates!$F$16,IF(AND(OR($B$2="Clinical Lecturer / Medical Research Fellow",$B$2="Clinical Consultant - Old Contract (GP)"),$B69&lt;&gt;""),$C69*Thresholds_Rates!$F$16,IF(AND(OR($B$2="APM Level 7",$B$2="R&amp;T Level 7"),F69&lt;&gt;""),$C69*Thresholds_Rates!$F$16,IF(SUMIF(Grades!$A:$A,$B$2,Grades!$BP:$BP)=1,$C69*Thresholds_Rates!$F$16,"")))))))</f>
        <v/>
      </c>
      <c r="H69" s="81" t="str">
        <f ca="1">IF(B69="","",IF(SUMIF(Grades!$A:$A,$B$2,Grades!$BQ:$BQ)=0,"-",IF(AND($B$2="Salary Points 1 to 57",B69&gt;Thresholds_Rates!$C$17),"-",IF(AND($B$2="Salary Points 1 to 57",B69&lt;=Thresholds_Rates!$C$17),$C69*Thresholds_Rates!$F$17,IF(AND(OR($B$2="New Consultant Contract"),$B69&lt;&gt;""),$C69*Thresholds_Rates!$F$17,IF(AND(OR($B$2="Clinical Lecturer / Medical Research Fellow",$B$2="Clinical Consultant - Old Contract (GP)"),$B69&lt;&gt;""),$C69*Thresholds_Rates!$F$17,IF(AND(OR($B$2="APM Level 7",$B$2="R&amp;T Level 7"),G69&lt;&gt;""),$C69*Thresholds_Rates!$F$17,IF(SUMIF(Grades!$A:$A,$B$2,Grades!$BQ:$BQ)=1,$C69*Thresholds_Rates!$F$17,""))))))))</f>
        <v/>
      </c>
      <c r="I69" s="81" t="str">
        <f ca="1">IF($B69="","",ROUND(($C69-(Thresholds_Rates!$C$5*12))*Thresholds_Rates!$C$10,0))</f>
        <v/>
      </c>
      <c r="J69" s="81" t="str">
        <f ca="1">IF(B69="","",(C69*Thresholds_Rates!$C$12))</f>
        <v/>
      </c>
      <c r="K69" s="81" t="str">
        <f ca="1">IF(B69="","",IF(AND($B$2="Salary Points 1 to 57",B69&gt;Thresholds_Rates!$C$17),"-",IF(SUMIF(Grades!$A:$A,$B$2,Grades!$BR:$BR)=0,"-",IF(AND($B$2="Salary Points 1 to 57",B69&lt;=Thresholds_Rates!$C$17),$C69*Thresholds_Rates!$F$18,IF(AND(OR($B$2="New Consultant Contract"),$B69&lt;&gt;""),$C69*Thresholds_Rates!$F$18,IF(AND(OR($B$2="Clinical Lecturer / Medical Research Fellow",$B$2="Clinical Consultant - Old Contract (GP)"),$B69&lt;&gt;""),$C69*Thresholds_Rates!$F$18,IF(AND(OR($B$2="APM Level 7",$B$2="R&amp;T Level 7"),I69&lt;&gt;""),$C69*Thresholds_Rates!$F$18,IF(SUMIF(Grades!$A:$A,$B$2,Grades!$BQ:$BQ)=1,$C69*Thresholds_Rates!$F$18,""))))))))</f>
        <v/>
      </c>
      <c r="L69" s="68"/>
      <c r="M69" s="81" t="str">
        <f t="shared" ca="1" si="0"/>
        <v/>
      </c>
      <c r="N69" s="81" t="str">
        <f t="shared" ca="1" si="1"/>
        <v/>
      </c>
      <c r="O69" s="81" t="str">
        <f t="shared" ca="1" si="2"/>
        <v/>
      </c>
      <c r="P69" s="81" t="str">
        <f t="shared" ca="1" si="3"/>
        <v/>
      </c>
      <c r="Q69" s="81" t="str">
        <f t="shared" ca="1" si="4"/>
        <v/>
      </c>
      <c r="S69" s="83" t="str">
        <f ca="1">IF(B69="","",IF($B$2="R&amp;T Level 5 - Clinical Lecturers (Vet School)",SUMIF('Points Lookup'!$V:$V,$B69,'Points Lookup'!$W:$W),IF($B$2="R&amp;T Level 6 - Clinical Associate Professors and Clinical Readers (Vet School)",SUMIF('Points Lookup'!$AC:$AC,$B69,'Points Lookup'!$AD:$AD),"")))</f>
        <v/>
      </c>
      <c r="T69" s="84" t="str">
        <f ca="1">IF(B69="","",IF($B$2="R&amp;T Level 5 - Clinical Lecturers (Vet School)",$C69-SUMIF('Points Lookup'!$V:$V,$B69,'Points Lookup'!$X:$X),IF($B$2="R&amp;T Level 6 - Clinical Associate Professors and Clinical Readers (Vet School)",$C69-SUMIF('Points Lookup'!$AC:$AC,$B69,'Points Lookup'!$AE:$AE),"")))</f>
        <v/>
      </c>
      <c r="U69" s="83" t="str">
        <f ca="1">IF(B69="","",IF($B$2="R&amp;T Level 5 - Clinical Lecturers (Vet School)",SUMIF('Points Lookup'!$V:$V,$B69,'Points Lookup'!$Z:$Z),IF($B$2="R&amp;T Level 6 - Clinical Associate Professors and Clinical Readers (Vet School)",SUMIF('Points Lookup'!$AC:$AC,$B69,'Points Lookup'!$AG:$AG),"")))</f>
        <v/>
      </c>
      <c r="V69" s="84" t="str">
        <f t="shared" ca="1" si="5"/>
        <v/>
      </c>
    </row>
    <row r="70" spans="2:22" x14ac:dyDescent="0.25">
      <c r="B70" s="68" t="str">
        <f ca="1">IFERROR(INDEX('Points Lookup'!$A:$A,MATCH($AA72,'Points Lookup'!$AN:$AN,0)),"")</f>
        <v/>
      </c>
      <c r="C70" s="81" t="str">
        <f ca="1">IF(B70="","",IF($B$2="Apprenticeship",SUMIF('Points Lookup'!$AJ:$AJ,B70,'Points Lookup'!$AL:$AL),IF(AND(OR($B$2="New Consultant Contract"),$B70&lt;&gt;""),INDEX('Points Lookup'!$T:$T,MATCH($B70,'Points Lookup'!$S:$S,0)),IF(AND(OR($B$2="Clinical Lecturer / Medical Research Fellow",$B$2="Clinical Consultant - Old Contract (GP)"),$B70&lt;&gt;""),INDEX('Points Lookup'!$Q:$Q,MATCH($B70,'Points Lookup'!$P:$P,0)),IF(AND(OR($B$2="APM Level 7",$B$2="R&amp;T Level 7",$B$2="APM Level 8",$B$2="Technical Services Level 7"),B70&lt;&gt;""),INDEX('Points Lookup'!$H:$H,MATCH($AA70,'Points Lookup'!$AN:$AN,0)),IF($B$2="R&amp;T Level 5 - Clinical Lecturers (Vet School)",SUMIF('Points Lookup'!$V:$V,$B70,'Points Lookup'!$Y:$Y),IF($B$2="R&amp;T Level 6 - Clinical Associate Professors and Clinical Readers (Vet School)",SUMIF('Points Lookup'!$AC:$AC,$B70,'Points Lookup'!$AF:$AF),IFERROR(INDEX('Points Lookup'!$B:$B,MATCH($AA70,'Points Lookup'!$AN:$AN,0)),""))))))))</f>
        <v/>
      </c>
      <c r="D70" s="81"/>
      <c r="E70" s="81"/>
      <c r="F70" s="81" t="str">
        <f ca="1">IF($B70="","",IF(AND($B$2="Salary Points 3 to 57",B70&lt;Thresholds_Rates!$C$16),"-",IF(SUMIF(Grades!$A:$A,$B$2,Grades!$BO:$BO)=0,"-",IF(AND($B$2="Salary Points 3 to 57",B70&gt;=Thresholds_Rates!$C$16),$C70*Thresholds_Rates!$F$15,IF(AND(OR($B$2="New Consultant Contract"),$B70&lt;&gt;""),$C70*Thresholds_Rates!$F$15,IF(AND(OR($B$2="Clinical Lecturer / Medical Research Fellow",$B$2="Clinical Consultant - Old Contract (GP)"),$B70&lt;&gt;""),$C70*Thresholds_Rates!$F$15,IF(OR($B$2="APM Level 7",$B$2="R&amp;T Level 7"),$C70*Thresholds_Rates!$F$15,IF(SUMIF(Grades!$A:$A,$B$2,Grades!$BO:$BO)=1,$C70*Thresholds_Rates!$F$15,""))))))))</f>
        <v/>
      </c>
      <c r="G70" s="81" t="str">
        <f ca="1">IF(B70="","",IF($B$2="Salary Points 1 to 57","-",IF(SUMIF(Grades!$A:$A,$B$2,Grades!$BP:$BP)=0,"-",IF(AND(OR($B$2="New Consultant Contract"),$B70&lt;&gt;""),$C70*Thresholds_Rates!$F$16,IF(AND(OR($B$2="Clinical Lecturer / Medical Research Fellow",$B$2="Clinical Consultant - Old Contract (GP)"),$B70&lt;&gt;""),$C70*Thresholds_Rates!$F$16,IF(AND(OR($B$2="APM Level 7",$B$2="R&amp;T Level 7"),F70&lt;&gt;""),$C70*Thresholds_Rates!$F$16,IF(SUMIF(Grades!$A:$A,$B$2,Grades!$BP:$BP)=1,$C70*Thresholds_Rates!$F$16,"")))))))</f>
        <v/>
      </c>
      <c r="H70" s="81" t="str">
        <f ca="1">IF(B70="","",IF(SUMIF(Grades!$A:$A,$B$2,Grades!$BQ:$BQ)=0,"-",IF(AND($B$2="Salary Points 1 to 57",B70&gt;Thresholds_Rates!$C$17),"-",IF(AND($B$2="Salary Points 1 to 57",B70&lt;=Thresholds_Rates!$C$17),$C70*Thresholds_Rates!$F$17,IF(AND(OR($B$2="New Consultant Contract"),$B70&lt;&gt;""),$C70*Thresholds_Rates!$F$17,IF(AND(OR($B$2="Clinical Lecturer / Medical Research Fellow",$B$2="Clinical Consultant - Old Contract (GP)"),$B70&lt;&gt;""),$C70*Thresholds_Rates!$F$17,IF(AND(OR($B$2="APM Level 7",$B$2="R&amp;T Level 7"),G70&lt;&gt;""),$C70*Thresholds_Rates!$F$17,IF(SUMIF(Grades!$A:$A,$B$2,Grades!$BQ:$BQ)=1,$C70*Thresholds_Rates!$F$17,""))))))))</f>
        <v/>
      </c>
      <c r="I70" s="81" t="str">
        <f ca="1">IF($B70="","",ROUND(($C70-(Thresholds_Rates!$C$5*12))*Thresholds_Rates!$C$10,0))</f>
        <v/>
      </c>
      <c r="J70" s="81" t="str">
        <f ca="1">IF(B70="","",(C70*Thresholds_Rates!$C$12))</f>
        <v/>
      </c>
      <c r="K70" s="81" t="str">
        <f ca="1">IF(B70="","",IF(AND($B$2="Salary Points 1 to 57",B70&gt;Thresholds_Rates!$C$17),"-",IF(SUMIF(Grades!$A:$A,$B$2,Grades!$BR:$BR)=0,"-",IF(AND($B$2="Salary Points 1 to 57",B70&lt;=Thresholds_Rates!$C$17),$C70*Thresholds_Rates!$F$18,IF(AND(OR($B$2="New Consultant Contract"),$B70&lt;&gt;""),$C70*Thresholds_Rates!$F$18,IF(AND(OR($B$2="Clinical Lecturer / Medical Research Fellow",$B$2="Clinical Consultant - Old Contract (GP)"),$B70&lt;&gt;""),$C70*Thresholds_Rates!$F$18,IF(AND(OR($B$2="APM Level 7",$B$2="R&amp;T Level 7"),I70&lt;&gt;""),$C70*Thresholds_Rates!$F$18,IF(SUMIF(Grades!$A:$A,$B$2,Grades!$BQ:$BQ)=1,$C70*Thresholds_Rates!$F$18,""))))))))</f>
        <v/>
      </c>
      <c r="L70" s="68"/>
      <c r="M70" s="81" t="str">
        <f t="shared" ca="1" si="0"/>
        <v/>
      </c>
      <c r="N70" s="81" t="str">
        <f t="shared" ca="1" si="1"/>
        <v/>
      </c>
      <c r="O70" s="81" t="str">
        <f t="shared" ca="1" si="2"/>
        <v/>
      </c>
      <c r="P70" s="81" t="str">
        <f t="shared" ca="1" si="3"/>
        <v/>
      </c>
      <c r="Q70" s="81" t="str">
        <f t="shared" ca="1" si="4"/>
        <v/>
      </c>
      <c r="S70" s="83" t="str">
        <f ca="1">IF(B70="","",IF($B$2="R&amp;T Level 5 - Clinical Lecturers (Vet School)",SUMIF('Points Lookup'!$V:$V,$B70,'Points Lookup'!$W:$W),IF($B$2="R&amp;T Level 6 - Clinical Associate Professors and Clinical Readers (Vet School)",SUMIF('Points Lookup'!$AC:$AC,$B70,'Points Lookup'!$AD:$AD),"")))</f>
        <v/>
      </c>
      <c r="T70" s="84" t="str">
        <f ca="1">IF(B70="","",IF($B$2="R&amp;T Level 5 - Clinical Lecturers (Vet School)",$C70-SUMIF('Points Lookup'!$V:$V,$B70,'Points Lookup'!$X:$X),IF($B$2="R&amp;T Level 6 - Clinical Associate Professors and Clinical Readers (Vet School)",$C70-SUMIF('Points Lookup'!$AC:$AC,$B70,'Points Lookup'!$AE:$AE),"")))</f>
        <v/>
      </c>
      <c r="U70" s="83" t="str">
        <f ca="1">IF(B70="","",IF($B$2="R&amp;T Level 5 - Clinical Lecturers (Vet School)",SUMIF('Points Lookup'!$V:$V,$B70,'Points Lookup'!$Z:$Z),IF($B$2="R&amp;T Level 6 - Clinical Associate Professors and Clinical Readers (Vet School)",SUMIF('Points Lookup'!$AC:$AC,$B70,'Points Lookup'!$AG:$AG),"")))</f>
        <v/>
      </c>
      <c r="V70" s="84" t="str">
        <f t="shared" ca="1" si="5"/>
        <v/>
      </c>
    </row>
    <row r="71" spans="2:22" x14ac:dyDescent="0.25">
      <c r="B71" s="68" t="str">
        <f ca="1">IFERROR(INDEX('Points Lookup'!$A:$A,MATCH($AA73,'Points Lookup'!$AN:$AN,0)),"")</f>
        <v/>
      </c>
      <c r="C71" s="81" t="str">
        <f ca="1">IF(B71="","",IF($B$2="Apprenticeship",SUMIF('Points Lookup'!$AJ:$AJ,B71,'Points Lookup'!$AL:$AL),IF(AND(OR($B$2="New Consultant Contract"),$B71&lt;&gt;""),INDEX('Points Lookup'!$T:$T,MATCH($B71,'Points Lookup'!$S:$S,0)),IF(AND(OR($B$2="Clinical Lecturer / Medical Research Fellow",$B$2="Clinical Consultant - Old Contract (GP)"),$B71&lt;&gt;""),INDEX('Points Lookup'!$Q:$Q,MATCH($B71,'Points Lookup'!$P:$P,0)),IF(AND(OR($B$2="APM Level 7",$B$2="R&amp;T Level 7",$B$2="APM Level 8",$B$2="Technical Services Level 7"),B71&lt;&gt;""),INDEX('Points Lookup'!$H:$H,MATCH($AA71,'Points Lookup'!$AN:$AN,0)),IF($B$2="R&amp;T Level 5 - Clinical Lecturers (Vet School)",SUMIF('Points Lookup'!$V:$V,$B71,'Points Lookup'!$Y:$Y),IF($B$2="R&amp;T Level 6 - Clinical Associate Professors and Clinical Readers (Vet School)",SUMIF('Points Lookup'!$AC:$AC,$B71,'Points Lookup'!$AF:$AF),IFERROR(INDEX('Points Lookup'!$B:$B,MATCH($AA71,'Points Lookup'!$AN:$AN,0)),""))))))))</f>
        <v/>
      </c>
      <c r="D71" s="81"/>
      <c r="E71" s="81"/>
      <c r="F71" s="81" t="str">
        <f ca="1">IF($B71="","",IF(AND($B$2="Salary Points 3 to 57",B71&lt;Thresholds_Rates!$C$16),"-",IF(SUMIF(Grades!$A:$A,$B$2,Grades!$BO:$BO)=0,"-",IF(AND($B$2="Salary Points 3 to 57",B71&gt;=Thresholds_Rates!$C$16),$C71*Thresholds_Rates!$F$15,IF(AND(OR($B$2="New Consultant Contract"),$B71&lt;&gt;""),$C71*Thresholds_Rates!$F$15,IF(AND(OR($B$2="Clinical Lecturer / Medical Research Fellow",$B$2="Clinical Consultant - Old Contract (GP)"),$B71&lt;&gt;""),$C71*Thresholds_Rates!$F$15,IF(OR($B$2="APM Level 7",$B$2="R&amp;T Level 7"),$C71*Thresholds_Rates!$F$15,IF(SUMIF(Grades!$A:$A,$B$2,Grades!$BO:$BO)=1,$C71*Thresholds_Rates!$F$15,""))))))))</f>
        <v/>
      </c>
      <c r="G71" s="81" t="str">
        <f ca="1">IF(B71="","",IF($B$2="Salary Points 1 to 57","-",IF(SUMIF(Grades!$A:$A,$B$2,Grades!$BP:$BP)=0,"-",IF(AND(OR($B$2="New Consultant Contract"),$B71&lt;&gt;""),$C71*Thresholds_Rates!$F$16,IF(AND(OR($B$2="Clinical Lecturer / Medical Research Fellow",$B$2="Clinical Consultant - Old Contract (GP)"),$B71&lt;&gt;""),$C71*Thresholds_Rates!$F$16,IF(AND(OR($B$2="APM Level 7",$B$2="R&amp;T Level 7"),F71&lt;&gt;""),$C71*Thresholds_Rates!$F$16,IF(SUMIF(Grades!$A:$A,$B$2,Grades!$BP:$BP)=1,$C71*Thresholds_Rates!$F$16,"")))))))</f>
        <v/>
      </c>
      <c r="H71" s="81" t="str">
        <f ca="1">IF(B71="","",IF(SUMIF(Grades!$A:$A,$B$2,Grades!$BQ:$BQ)=0,"-",IF(AND($B$2="Salary Points 1 to 57",B71&gt;Thresholds_Rates!$C$17),"-",IF(AND($B$2="Salary Points 1 to 57",B71&lt;=Thresholds_Rates!$C$17),$C71*Thresholds_Rates!$F$17,IF(AND(OR($B$2="New Consultant Contract"),$B71&lt;&gt;""),$C71*Thresholds_Rates!$F$17,IF(AND(OR($B$2="Clinical Lecturer / Medical Research Fellow",$B$2="Clinical Consultant - Old Contract (GP)"),$B71&lt;&gt;""),$C71*Thresholds_Rates!$F$17,IF(AND(OR($B$2="APM Level 7",$B$2="R&amp;T Level 7"),G71&lt;&gt;""),$C71*Thresholds_Rates!$F$17,IF(SUMIF(Grades!$A:$A,$B$2,Grades!$BQ:$BQ)=1,$C71*Thresholds_Rates!$F$17,""))))))))</f>
        <v/>
      </c>
      <c r="I71" s="81" t="str">
        <f ca="1">IF($B71="","",ROUND(($C71-(Thresholds_Rates!$C$5*12))*Thresholds_Rates!$C$10,0))</f>
        <v/>
      </c>
      <c r="J71" s="81" t="str">
        <f ca="1">IF(B71="","",(C71*Thresholds_Rates!$C$12))</f>
        <v/>
      </c>
      <c r="K71" s="81" t="str">
        <f ca="1">IF(B71="","",IF(AND($B$2="Salary Points 1 to 57",B71&gt;Thresholds_Rates!$C$17),"-",IF(SUMIF(Grades!$A:$A,$B$2,Grades!$BR:$BR)=0,"-",IF(AND($B$2="Salary Points 1 to 57",B71&lt;=Thresholds_Rates!$C$17),$C71*Thresholds_Rates!$F$18,IF(AND(OR($B$2="New Consultant Contract"),$B71&lt;&gt;""),$C71*Thresholds_Rates!$F$18,IF(AND(OR($B$2="Clinical Lecturer / Medical Research Fellow",$B$2="Clinical Consultant - Old Contract (GP)"),$B71&lt;&gt;""),$C71*Thresholds_Rates!$F$18,IF(AND(OR($B$2="APM Level 7",$B$2="R&amp;T Level 7"),I71&lt;&gt;""),$C71*Thresholds_Rates!$F$18,IF(SUMIF(Grades!$A:$A,$B$2,Grades!$BQ:$BQ)=1,$C71*Thresholds_Rates!$F$18,""))))))))</f>
        <v/>
      </c>
      <c r="L71" s="68"/>
      <c r="M71" s="81" t="str">
        <f t="shared" ref="M71:M134" ca="1" si="6">IF(B71="","",IF(F71="-","-",$C71+$I71+F71+J71))</f>
        <v/>
      </c>
      <c r="N71" s="81" t="str">
        <f t="shared" ref="N71:N134" ca="1" si="7">IF(B71="","",IF(G71="-","-",$C71+$I71+G71+J71))</f>
        <v/>
      </c>
      <c r="O71" s="81" t="str">
        <f t="shared" ref="O71:O134" ca="1" si="8">IF(B71="","",IF(H71="-","-",$C71+$I71+H71+J71))</f>
        <v/>
      </c>
      <c r="P71" s="81" t="str">
        <f t="shared" ref="P71:P134" ca="1" si="9">IF(B71="","",IF(K71="-","-",$C71+$I71+K71+J71))</f>
        <v/>
      </c>
      <c r="Q71" s="81" t="str">
        <f t="shared" ref="Q71:Q134" ca="1" si="10">IF(B71="","",C71+I71+J71)</f>
        <v/>
      </c>
      <c r="S71" s="83" t="str">
        <f ca="1">IF(B71="","",IF($B$2="R&amp;T Level 5 - Clinical Lecturers (Vet School)",SUMIF('Points Lookup'!$V:$V,$B71,'Points Lookup'!$W:$W),IF($B$2="R&amp;T Level 6 - Clinical Associate Professors and Clinical Readers (Vet School)",SUMIF('Points Lookup'!$AC:$AC,$B71,'Points Lookup'!$AD:$AD),"")))</f>
        <v/>
      </c>
      <c r="T71" s="84" t="str">
        <f ca="1">IF(B71="","",IF($B$2="R&amp;T Level 5 - Clinical Lecturers (Vet School)",$C71-SUMIF('Points Lookup'!$V:$V,$B71,'Points Lookup'!$X:$X),IF($B$2="R&amp;T Level 6 - Clinical Associate Professors and Clinical Readers (Vet School)",$C71-SUMIF('Points Lookup'!$AC:$AC,$B71,'Points Lookup'!$AE:$AE),"")))</f>
        <v/>
      </c>
      <c r="U71" s="83" t="str">
        <f ca="1">IF(B71="","",IF($B$2="R&amp;T Level 5 - Clinical Lecturers (Vet School)",SUMIF('Points Lookup'!$V:$V,$B71,'Points Lookup'!$Z:$Z),IF($B$2="R&amp;T Level 6 - Clinical Associate Professors and Clinical Readers (Vet School)",SUMIF('Points Lookup'!$AC:$AC,$B71,'Points Lookup'!$AG:$AG),"")))</f>
        <v/>
      </c>
      <c r="V71" s="84" t="str">
        <f t="shared" ref="V71:V101" ca="1" si="11">IF(B71="","",IF($B$2="R&amp;T Level 5 - Clinical Lecturers (Vet School)",ROUND(C71*U71,0),IF($B$2="R&amp;T Level 6 - Clinical Associate Professors and Clinical Readers (Vet School)",ROUND(C71*U71,0),"")))</f>
        <v/>
      </c>
    </row>
    <row r="72" spans="2:22" x14ac:dyDescent="0.25">
      <c r="B72" s="68" t="str">
        <f ca="1">IFERROR(INDEX('Points Lookup'!$A:$A,MATCH($AA74,'Points Lookup'!$AN:$AN,0)),"")</f>
        <v/>
      </c>
      <c r="C72" s="81" t="str">
        <f ca="1">IF(B72="","",IF($B$2="Apprenticeship",SUMIF('Points Lookup'!$AJ:$AJ,B72,'Points Lookup'!$AL:$AL),IF(AND(OR($B$2="New Consultant Contract"),$B72&lt;&gt;""),INDEX('Points Lookup'!$T:$T,MATCH($B72,'Points Lookup'!$S:$S,0)),IF(AND(OR($B$2="Clinical Lecturer / Medical Research Fellow",$B$2="Clinical Consultant - Old Contract (GP)"),$B72&lt;&gt;""),INDEX('Points Lookup'!$Q:$Q,MATCH($B72,'Points Lookup'!$P:$P,0)),IF(AND(OR($B$2="APM Level 7",$B$2="R&amp;T Level 7",$B$2="APM Level 8",$B$2="Technical Services Level 7"),B72&lt;&gt;""),INDEX('Points Lookup'!$H:$H,MATCH($AA72,'Points Lookup'!$AN:$AN,0)),IF($B$2="R&amp;T Level 5 - Clinical Lecturers (Vet School)",SUMIF('Points Lookup'!$V:$V,$B72,'Points Lookup'!$Y:$Y),IF($B$2="R&amp;T Level 6 - Clinical Associate Professors and Clinical Readers (Vet School)",SUMIF('Points Lookup'!$AC:$AC,$B72,'Points Lookup'!$AF:$AF),IFERROR(INDEX('Points Lookup'!$B:$B,MATCH($AA72,'Points Lookup'!$AN:$AN,0)),""))))))))</f>
        <v/>
      </c>
      <c r="D72" s="81"/>
      <c r="E72" s="81"/>
      <c r="F72" s="81" t="str">
        <f ca="1">IF($B72="","",IF(AND($B$2="Salary Points 3 to 57",B72&lt;Thresholds_Rates!$C$16),"-",IF(SUMIF(Grades!$A:$A,$B$2,Grades!$BO:$BO)=0,"-",IF(AND($B$2="Salary Points 3 to 57",B72&gt;=Thresholds_Rates!$C$16),$C72*Thresholds_Rates!$F$15,IF(AND(OR($B$2="New Consultant Contract"),$B72&lt;&gt;""),$C72*Thresholds_Rates!$F$15,IF(AND(OR($B$2="Clinical Lecturer / Medical Research Fellow",$B$2="Clinical Consultant - Old Contract (GP)"),$B72&lt;&gt;""),$C72*Thresholds_Rates!$F$15,IF(OR($B$2="APM Level 7",$B$2="R&amp;T Level 7"),$C72*Thresholds_Rates!$F$15,IF(SUMIF(Grades!$A:$A,$B$2,Grades!$BO:$BO)=1,$C72*Thresholds_Rates!$F$15,""))))))))</f>
        <v/>
      </c>
      <c r="G72" s="81" t="str">
        <f ca="1">IF(B72="","",IF($B$2="Salary Points 1 to 57","-",IF(SUMIF(Grades!$A:$A,$B$2,Grades!$BP:$BP)=0,"-",IF(AND(OR($B$2="New Consultant Contract"),$B72&lt;&gt;""),$C72*Thresholds_Rates!$F$16,IF(AND(OR($B$2="Clinical Lecturer / Medical Research Fellow",$B$2="Clinical Consultant - Old Contract (GP)"),$B72&lt;&gt;""),$C72*Thresholds_Rates!$F$16,IF(AND(OR($B$2="APM Level 7",$B$2="R&amp;T Level 7"),F72&lt;&gt;""),$C72*Thresholds_Rates!$F$16,IF(SUMIF(Grades!$A:$A,$B$2,Grades!$BP:$BP)=1,$C72*Thresholds_Rates!$F$16,"")))))))</f>
        <v/>
      </c>
      <c r="H72" s="81" t="str">
        <f ca="1">IF(B72="","",IF(SUMIF(Grades!$A:$A,$B$2,Grades!$BQ:$BQ)=0,"-",IF(AND($B$2="Salary Points 1 to 57",B72&gt;Thresholds_Rates!$C$17),"-",IF(AND($B$2="Salary Points 1 to 57",B72&lt;=Thresholds_Rates!$C$17),$C72*Thresholds_Rates!$F$17,IF(AND(OR($B$2="New Consultant Contract"),$B72&lt;&gt;""),$C72*Thresholds_Rates!$F$17,IF(AND(OR($B$2="Clinical Lecturer / Medical Research Fellow",$B$2="Clinical Consultant - Old Contract (GP)"),$B72&lt;&gt;""),$C72*Thresholds_Rates!$F$17,IF(AND(OR($B$2="APM Level 7",$B$2="R&amp;T Level 7"),G72&lt;&gt;""),$C72*Thresholds_Rates!$F$17,IF(SUMIF(Grades!$A:$A,$B$2,Grades!$BQ:$BQ)=1,$C72*Thresholds_Rates!$F$17,""))))))))</f>
        <v/>
      </c>
      <c r="I72" s="81" t="str">
        <f ca="1">IF($B72="","",ROUND(($C72-(Thresholds_Rates!$C$5*12))*Thresholds_Rates!$C$10,0))</f>
        <v/>
      </c>
      <c r="J72" s="81" t="str">
        <f ca="1">IF(B72="","",(C72*Thresholds_Rates!$C$12))</f>
        <v/>
      </c>
      <c r="K72" s="81" t="str">
        <f ca="1">IF(B72="","",IF(AND($B$2="Salary Points 1 to 57",B72&gt;Thresholds_Rates!$C$17),"-",IF(SUMIF(Grades!$A:$A,$B$2,Grades!$BR:$BR)=0,"-",IF(AND($B$2="Salary Points 1 to 57",B72&lt;=Thresholds_Rates!$C$17),$C72*Thresholds_Rates!$F$18,IF(AND(OR($B$2="New Consultant Contract"),$B72&lt;&gt;""),$C72*Thresholds_Rates!$F$18,IF(AND(OR($B$2="Clinical Lecturer / Medical Research Fellow",$B$2="Clinical Consultant - Old Contract (GP)"),$B72&lt;&gt;""),$C72*Thresholds_Rates!$F$18,IF(AND(OR($B$2="APM Level 7",$B$2="R&amp;T Level 7"),I72&lt;&gt;""),$C72*Thresholds_Rates!$F$18,IF(SUMIF(Grades!$A:$A,$B$2,Grades!$BQ:$BQ)=1,$C72*Thresholds_Rates!$F$18,""))))))))</f>
        <v/>
      </c>
      <c r="L72" s="68"/>
      <c r="M72" s="81" t="str">
        <f t="shared" ca="1" si="6"/>
        <v/>
      </c>
      <c r="N72" s="81" t="str">
        <f t="shared" ca="1" si="7"/>
        <v/>
      </c>
      <c r="O72" s="81" t="str">
        <f t="shared" ca="1" si="8"/>
        <v/>
      </c>
      <c r="P72" s="81" t="str">
        <f t="shared" ca="1" si="9"/>
        <v/>
      </c>
      <c r="Q72" s="81" t="str">
        <f t="shared" ca="1" si="10"/>
        <v/>
      </c>
      <c r="S72" s="83" t="str">
        <f ca="1">IF(B72="","",IF($B$2="R&amp;T Level 5 - Clinical Lecturers (Vet School)",SUMIF('Points Lookup'!$V:$V,$B72,'Points Lookup'!$W:$W),IF($B$2="R&amp;T Level 6 - Clinical Associate Professors and Clinical Readers (Vet School)",SUMIF('Points Lookup'!$AC:$AC,$B72,'Points Lookup'!$AD:$AD),"")))</f>
        <v/>
      </c>
      <c r="T72" s="84" t="str">
        <f ca="1">IF(B72="","",IF($B$2="R&amp;T Level 5 - Clinical Lecturers (Vet School)",$C72-SUMIF('Points Lookup'!$V:$V,$B72,'Points Lookup'!$X:$X),IF($B$2="R&amp;T Level 6 - Clinical Associate Professors and Clinical Readers (Vet School)",$C72-SUMIF('Points Lookup'!$AC:$AC,$B72,'Points Lookup'!$AE:$AE),"")))</f>
        <v/>
      </c>
      <c r="U72" s="83" t="str">
        <f ca="1">IF(B72="","",IF($B$2="R&amp;T Level 5 - Clinical Lecturers (Vet School)",SUMIF('Points Lookup'!$V:$V,$B72,'Points Lookup'!$Z:$Z),IF($B$2="R&amp;T Level 6 - Clinical Associate Professors and Clinical Readers (Vet School)",SUMIF('Points Lookup'!$AC:$AC,$B72,'Points Lookup'!$AG:$AG),"")))</f>
        <v/>
      </c>
      <c r="V72" s="84" t="str">
        <f t="shared" ca="1" si="11"/>
        <v/>
      </c>
    </row>
    <row r="73" spans="2:22" x14ac:dyDescent="0.25">
      <c r="B73" s="68" t="str">
        <f ca="1">IFERROR(INDEX('Points Lookup'!$A:$A,MATCH($AA75,'Points Lookup'!$AN:$AN,0)),"")</f>
        <v/>
      </c>
      <c r="C73" s="81" t="str">
        <f ca="1">IF(B73="","",IF($B$2="Apprenticeship",SUMIF('Points Lookup'!$AJ:$AJ,B73,'Points Lookup'!$AL:$AL),IF(AND(OR($B$2="New Consultant Contract"),$B73&lt;&gt;""),INDEX('Points Lookup'!$T:$T,MATCH($B73,'Points Lookup'!$S:$S,0)),IF(AND(OR($B$2="Clinical Lecturer / Medical Research Fellow",$B$2="Clinical Consultant - Old Contract (GP)"),$B73&lt;&gt;""),INDEX('Points Lookup'!$Q:$Q,MATCH($B73,'Points Lookup'!$P:$P,0)),IF(AND(OR($B$2="APM Level 7",$B$2="R&amp;T Level 7",$B$2="APM Level 8",$B$2="Technical Services Level 7"),B73&lt;&gt;""),INDEX('Points Lookup'!$H:$H,MATCH($AA73,'Points Lookup'!$AN:$AN,0)),IF($B$2="R&amp;T Level 5 - Clinical Lecturers (Vet School)",SUMIF('Points Lookup'!$V:$V,$B73,'Points Lookup'!$Y:$Y),IF($B$2="R&amp;T Level 6 - Clinical Associate Professors and Clinical Readers (Vet School)",SUMIF('Points Lookup'!$AC:$AC,$B73,'Points Lookup'!$AF:$AF),IFERROR(INDEX('Points Lookup'!$B:$B,MATCH($AA73,'Points Lookup'!$AN:$AN,0)),""))))))))</f>
        <v/>
      </c>
      <c r="D73" s="81"/>
      <c r="E73" s="81"/>
      <c r="F73" s="81" t="str">
        <f ca="1">IF($B73="","",IF(AND($B$2="Salary Points 3 to 57",B73&lt;Thresholds_Rates!$C$16),"-",IF(SUMIF(Grades!$A:$A,$B$2,Grades!$BO:$BO)=0,"-",IF(AND($B$2="Salary Points 3 to 57",B73&gt;=Thresholds_Rates!$C$16),$C73*Thresholds_Rates!$F$15,IF(AND(OR($B$2="New Consultant Contract"),$B73&lt;&gt;""),$C73*Thresholds_Rates!$F$15,IF(AND(OR($B$2="Clinical Lecturer / Medical Research Fellow",$B$2="Clinical Consultant - Old Contract (GP)"),$B73&lt;&gt;""),$C73*Thresholds_Rates!$F$15,IF(OR($B$2="APM Level 7",$B$2="R&amp;T Level 7"),$C73*Thresholds_Rates!$F$15,IF(SUMIF(Grades!$A:$A,$B$2,Grades!$BO:$BO)=1,$C73*Thresholds_Rates!$F$15,""))))))))</f>
        <v/>
      </c>
      <c r="G73" s="81" t="str">
        <f ca="1">IF(B73="","",IF($B$2="Salary Points 1 to 57","-",IF(SUMIF(Grades!$A:$A,$B$2,Grades!$BP:$BP)=0,"-",IF(AND(OR($B$2="New Consultant Contract"),$B73&lt;&gt;""),$C73*Thresholds_Rates!$F$16,IF(AND(OR($B$2="Clinical Lecturer / Medical Research Fellow",$B$2="Clinical Consultant - Old Contract (GP)"),$B73&lt;&gt;""),$C73*Thresholds_Rates!$F$16,IF(AND(OR($B$2="APM Level 7",$B$2="R&amp;T Level 7"),F73&lt;&gt;""),$C73*Thresholds_Rates!$F$16,IF(SUMIF(Grades!$A:$A,$B$2,Grades!$BP:$BP)=1,$C73*Thresholds_Rates!$F$16,"")))))))</f>
        <v/>
      </c>
      <c r="H73" s="81" t="str">
        <f ca="1">IF(B73="","",IF(SUMIF(Grades!$A:$A,$B$2,Grades!$BQ:$BQ)=0,"-",IF(AND($B$2="Salary Points 1 to 57",B73&gt;Thresholds_Rates!$C$17),"-",IF(AND($B$2="Salary Points 1 to 57",B73&lt;=Thresholds_Rates!$C$17),$C73*Thresholds_Rates!$F$17,IF(AND(OR($B$2="New Consultant Contract"),$B73&lt;&gt;""),$C73*Thresholds_Rates!$F$17,IF(AND(OR($B$2="Clinical Lecturer / Medical Research Fellow",$B$2="Clinical Consultant - Old Contract (GP)"),$B73&lt;&gt;""),$C73*Thresholds_Rates!$F$17,IF(AND(OR($B$2="APM Level 7",$B$2="R&amp;T Level 7"),G73&lt;&gt;""),$C73*Thresholds_Rates!$F$17,IF(SUMIF(Grades!$A:$A,$B$2,Grades!$BQ:$BQ)=1,$C73*Thresholds_Rates!$F$17,""))))))))</f>
        <v/>
      </c>
      <c r="I73" s="81" t="str">
        <f ca="1">IF($B73="","",ROUND(($C73-(Thresholds_Rates!$C$5*12))*Thresholds_Rates!$C$10,0))</f>
        <v/>
      </c>
      <c r="J73" s="81" t="str">
        <f ca="1">IF(B73="","",(C73*Thresholds_Rates!$C$12))</f>
        <v/>
      </c>
      <c r="K73" s="81" t="str">
        <f ca="1">IF(B73="","",IF(AND($B$2="Salary Points 1 to 57",B73&gt;Thresholds_Rates!$C$17),"-",IF(SUMIF(Grades!$A:$A,$B$2,Grades!$BR:$BR)=0,"-",IF(AND($B$2="Salary Points 1 to 57",B73&lt;=Thresholds_Rates!$C$17),$C73*Thresholds_Rates!$F$18,IF(AND(OR($B$2="New Consultant Contract"),$B73&lt;&gt;""),$C73*Thresholds_Rates!$F$18,IF(AND(OR($B$2="Clinical Lecturer / Medical Research Fellow",$B$2="Clinical Consultant - Old Contract (GP)"),$B73&lt;&gt;""),$C73*Thresholds_Rates!$F$18,IF(AND(OR($B$2="APM Level 7",$B$2="R&amp;T Level 7"),I73&lt;&gt;""),$C73*Thresholds_Rates!$F$18,IF(SUMIF(Grades!$A:$A,$B$2,Grades!$BQ:$BQ)=1,$C73*Thresholds_Rates!$F$18,""))))))))</f>
        <v/>
      </c>
      <c r="L73" s="68"/>
      <c r="M73" s="81" t="str">
        <f t="shared" ca="1" si="6"/>
        <v/>
      </c>
      <c r="N73" s="81" t="str">
        <f t="shared" ca="1" si="7"/>
        <v/>
      </c>
      <c r="O73" s="81" t="str">
        <f t="shared" ca="1" si="8"/>
        <v/>
      </c>
      <c r="P73" s="81" t="str">
        <f t="shared" ca="1" si="9"/>
        <v/>
      </c>
      <c r="Q73" s="81" t="str">
        <f t="shared" ca="1" si="10"/>
        <v/>
      </c>
      <c r="S73" s="83" t="str">
        <f ca="1">IF(B73="","",IF($B$2="R&amp;T Level 5 - Clinical Lecturers (Vet School)",SUMIF('Points Lookup'!$V:$V,$B73,'Points Lookup'!$W:$W),IF($B$2="R&amp;T Level 6 - Clinical Associate Professors and Clinical Readers (Vet School)",SUMIF('Points Lookup'!$AC:$AC,$B73,'Points Lookup'!$AD:$AD),"")))</f>
        <v/>
      </c>
      <c r="T73" s="84" t="str">
        <f ca="1">IF(B73="","",IF($B$2="R&amp;T Level 5 - Clinical Lecturers (Vet School)",$C73-SUMIF('Points Lookup'!$V:$V,$B73,'Points Lookup'!$X:$X),IF($B$2="R&amp;T Level 6 - Clinical Associate Professors and Clinical Readers (Vet School)",$C73-SUMIF('Points Lookup'!$AC:$AC,$B73,'Points Lookup'!$AE:$AE),"")))</f>
        <v/>
      </c>
      <c r="U73" s="83" t="str">
        <f ca="1">IF(B73="","",IF($B$2="R&amp;T Level 5 - Clinical Lecturers (Vet School)",SUMIF('Points Lookup'!$V:$V,$B73,'Points Lookup'!$Z:$Z),IF($B$2="R&amp;T Level 6 - Clinical Associate Professors and Clinical Readers (Vet School)",SUMIF('Points Lookup'!$AC:$AC,$B73,'Points Lookup'!$AG:$AG),"")))</f>
        <v/>
      </c>
      <c r="V73" s="84" t="str">
        <f t="shared" ca="1" si="11"/>
        <v/>
      </c>
    </row>
    <row r="74" spans="2:22" x14ac:dyDescent="0.25">
      <c r="B74" s="68" t="str">
        <f ca="1">IFERROR(INDEX('Points Lookup'!$A:$A,MATCH($AA76,'Points Lookup'!$AN:$AN,0)),"")</f>
        <v/>
      </c>
      <c r="C74" s="81" t="str">
        <f ca="1">IF(B74="","",IF($B$2="Apprenticeship",SUMIF('Points Lookup'!$AJ:$AJ,B74,'Points Lookup'!$AL:$AL),IF(AND(OR($B$2="New Consultant Contract"),$B74&lt;&gt;""),INDEX('Points Lookup'!$T:$T,MATCH($B74,'Points Lookup'!$S:$S,0)),IF(AND(OR($B$2="Clinical Lecturer / Medical Research Fellow",$B$2="Clinical Consultant - Old Contract (GP)"),$B74&lt;&gt;""),INDEX('Points Lookup'!$Q:$Q,MATCH($B74,'Points Lookup'!$P:$P,0)),IF(AND(OR($B$2="APM Level 7",$B$2="R&amp;T Level 7",$B$2="APM Level 8",$B$2="Technical Services Level 7"),B74&lt;&gt;""),INDEX('Points Lookup'!$H:$H,MATCH($AA74,'Points Lookup'!$AN:$AN,0)),IF($B$2="R&amp;T Level 5 - Clinical Lecturers (Vet School)",SUMIF('Points Lookup'!$V:$V,$B74,'Points Lookup'!$Y:$Y),IF($B$2="R&amp;T Level 6 - Clinical Associate Professors and Clinical Readers (Vet School)",SUMIF('Points Lookup'!$AC:$AC,$B74,'Points Lookup'!$AF:$AF),IFERROR(INDEX('Points Lookup'!$B:$B,MATCH($AA74,'Points Lookup'!$AN:$AN,0)),""))))))))</f>
        <v/>
      </c>
      <c r="D74" s="81"/>
      <c r="E74" s="81"/>
      <c r="F74" s="81" t="str">
        <f ca="1">IF($B74="","",IF(AND($B$2="Salary Points 3 to 57",B74&lt;Thresholds_Rates!$C$16),"-",IF(SUMIF(Grades!$A:$A,$B$2,Grades!$BO:$BO)=0,"-",IF(AND($B$2="Salary Points 3 to 57",B74&gt;=Thresholds_Rates!$C$16),$C74*Thresholds_Rates!$F$15,IF(AND(OR($B$2="New Consultant Contract"),$B74&lt;&gt;""),$C74*Thresholds_Rates!$F$15,IF(AND(OR($B$2="Clinical Lecturer / Medical Research Fellow",$B$2="Clinical Consultant - Old Contract (GP)"),$B74&lt;&gt;""),$C74*Thresholds_Rates!$F$15,IF(OR($B$2="APM Level 7",$B$2="R&amp;T Level 7"),$C74*Thresholds_Rates!$F$15,IF(SUMIF(Grades!$A:$A,$B$2,Grades!$BO:$BO)=1,$C74*Thresholds_Rates!$F$15,""))))))))</f>
        <v/>
      </c>
      <c r="G74" s="81" t="str">
        <f ca="1">IF(B74="","",IF($B$2="Salary Points 1 to 57","-",IF(SUMIF(Grades!$A:$A,$B$2,Grades!$BP:$BP)=0,"-",IF(AND(OR($B$2="New Consultant Contract"),$B74&lt;&gt;""),$C74*Thresholds_Rates!$F$16,IF(AND(OR($B$2="Clinical Lecturer / Medical Research Fellow",$B$2="Clinical Consultant - Old Contract (GP)"),$B74&lt;&gt;""),$C74*Thresholds_Rates!$F$16,IF(AND(OR($B$2="APM Level 7",$B$2="R&amp;T Level 7"),F74&lt;&gt;""),$C74*Thresholds_Rates!$F$16,IF(SUMIF(Grades!$A:$A,$B$2,Grades!$BP:$BP)=1,$C74*Thresholds_Rates!$F$16,"")))))))</f>
        <v/>
      </c>
      <c r="H74" s="81" t="str">
        <f ca="1">IF(B74="","",IF(SUMIF(Grades!$A:$A,$B$2,Grades!$BQ:$BQ)=0,"-",IF(AND($B$2="Salary Points 1 to 57",B74&gt;Thresholds_Rates!$C$17),"-",IF(AND($B$2="Salary Points 1 to 57",B74&lt;=Thresholds_Rates!$C$17),$C74*Thresholds_Rates!$F$17,IF(AND(OR($B$2="New Consultant Contract"),$B74&lt;&gt;""),$C74*Thresholds_Rates!$F$17,IF(AND(OR($B$2="Clinical Lecturer / Medical Research Fellow",$B$2="Clinical Consultant - Old Contract (GP)"),$B74&lt;&gt;""),$C74*Thresholds_Rates!$F$17,IF(AND(OR($B$2="APM Level 7",$B$2="R&amp;T Level 7"),G74&lt;&gt;""),$C74*Thresholds_Rates!$F$17,IF(SUMIF(Grades!$A:$A,$B$2,Grades!$BQ:$BQ)=1,$C74*Thresholds_Rates!$F$17,""))))))))</f>
        <v/>
      </c>
      <c r="I74" s="81" t="str">
        <f ca="1">IF($B74="","",ROUND(($C74-(Thresholds_Rates!$C$5*12))*Thresholds_Rates!$C$10,0))</f>
        <v/>
      </c>
      <c r="J74" s="81" t="str">
        <f ca="1">IF(B74="","",(C74*Thresholds_Rates!$C$12))</f>
        <v/>
      </c>
      <c r="K74" s="81" t="str">
        <f ca="1">IF(B74="","",IF(AND($B$2="Salary Points 1 to 57",B74&gt;Thresholds_Rates!$C$17),"-",IF(SUMIF(Grades!$A:$A,$B$2,Grades!$BR:$BR)=0,"-",IF(AND($B$2="Salary Points 1 to 57",B74&lt;=Thresholds_Rates!$C$17),$C74*Thresholds_Rates!$F$18,IF(AND(OR($B$2="New Consultant Contract"),$B74&lt;&gt;""),$C74*Thresholds_Rates!$F$18,IF(AND(OR($B$2="Clinical Lecturer / Medical Research Fellow",$B$2="Clinical Consultant - Old Contract (GP)"),$B74&lt;&gt;""),$C74*Thresholds_Rates!$F$18,IF(AND(OR($B$2="APM Level 7",$B$2="R&amp;T Level 7"),I74&lt;&gt;""),$C74*Thresholds_Rates!$F$18,IF(SUMIF(Grades!$A:$A,$B$2,Grades!$BQ:$BQ)=1,$C74*Thresholds_Rates!$F$18,""))))))))</f>
        <v/>
      </c>
      <c r="L74" s="68"/>
      <c r="M74" s="81" t="str">
        <f t="shared" ca="1" si="6"/>
        <v/>
      </c>
      <c r="N74" s="81" t="str">
        <f t="shared" ca="1" si="7"/>
        <v/>
      </c>
      <c r="O74" s="81" t="str">
        <f t="shared" ca="1" si="8"/>
        <v/>
      </c>
      <c r="P74" s="81" t="str">
        <f t="shared" ca="1" si="9"/>
        <v/>
      </c>
      <c r="Q74" s="81" t="str">
        <f t="shared" ca="1" si="10"/>
        <v/>
      </c>
      <c r="S74" s="83" t="str">
        <f ca="1">IF(B74="","",IF($B$2="R&amp;T Level 5 - Clinical Lecturers (Vet School)",SUMIF('Points Lookup'!$V:$V,$B74,'Points Lookup'!$W:$W),IF($B$2="R&amp;T Level 6 - Clinical Associate Professors and Clinical Readers (Vet School)",SUMIF('Points Lookup'!$AC:$AC,$B74,'Points Lookup'!$AD:$AD),"")))</f>
        <v/>
      </c>
      <c r="T74" s="84" t="str">
        <f ca="1">IF(B74="","",IF($B$2="R&amp;T Level 5 - Clinical Lecturers (Vet School)",$C74-SUMIF('Points Lookup'!$V:$V,$B74,'Points Lookup'!$X:$X),IF($B$2="R&amp;T Level 6 - Clinical Associate Professors and Clinical Readers (Vet School)",$C74-SUMIF('Points Lookup'!$AC:$AC,$B74,'Points Lookup'!$AE:$AE),"")))</f>
        <v/>
      </c>
      <c r="U74" s="83" t="str">
        <f ca="1">IF(B74="","",IF($B$2="R&amp;T Level 5 - Clinical Lecturers (Vet School)",SUMIF('Points Lookup'!$V:$V,$B74,'Points Lookup'!$Z:$Z),IF($B$2="R&amp;T Level 6 - Clinical Associate Professors and Clinical Readers (Vet School)",SUMIF('Points Lookup'!$AC:$AC,$B74,'Points Lookup'!$AG:$AG),"")))</f>
        <v/>
      </c>
      <c r="V74" s="84" t="str">
        <f t="shared" ca="1" si="11"/>
        <v/>
      </c>
    </row>
    <row r="75" spans="2:22" x14ac:dyDescent="0.25">
      <c r="B75" s="68" t="str">
        <f ca="1">IFERROR(INDEX('Points Lookup'!$A:$A,MATCH($AA77,'Points Lookup'!$AN:$AN,0)),"")</f>
        <v/>
      </c>
      <c r="C75" s="81" t="str">
        <f ca="1">IF(B75="","",IF($B$2="Apprenticeship",SUMIF('Points Lookup'!$AJ:$AJ,B75,'Points Lookup'!$AL:$AL),IF(AND(OR($B$2="New Consultant Contract"),$B75&lt;&gt;""),INDEX('Points Lookup'!$T:$T,MATCH($B75,'Points Lookup'!$S:$S,0)),IF(AND(OR($B$2="Clinical Lecturer / Medical Research Fellow",$B$2="Clinical Consultant - Old Contract (GP)"),$B75&lt;&gt;""),INDEX('Points Lookup'!$Q:$Q,MATCH($B75,'Points Lookup'!$P:$P,0)),IF(AND(OR($B$2="APM Level 7",$B$2="R&amp;T Level 7",$B$2="APM Level 8",$B$2="Technical Services Level 7"),B75&lt;&gt;""),INDEX('Points Lookup'!$H:$H,MATCH($AA75,'Points Lookup'!$AN:$AN,0)),IF($B$2="R&amp;T Level 5 - Clinical Lecturers (Vet School)",SUMIF('Points Lookup'!$V:$V,$B75,'Points Lookup'!$Y:$Y),IF($B$2="R&amp;T Level 6 - Clinical Associate Professors and Clinical Readers (Vet School)",SUMIF('Points Lookup'!$AC:$AC,$B75,'Points Lookup'!$AF:$AF),IFERROR(INDEX('Points Lookup'!$B:$B,MATCH($AA75,'Points Lookup'!$AN:$AN,0)),""))))))))</f>
        <v/>
      </c>
      <c r="D75" s="81"/>
      <c r="E75" s="81"/>
      <c r="F75" s="81" t="str">
        <f ca="1">IF($B75="","",IF(AND($B$2="Salary Points 3 to 57",B75&lt;Thresholds_Rates!$C$16),"-",IF(SUMIF(Grades!$A:$A,$B$2,Grades!$BO:$BO)=0,"-",IF(AND($B$2="Salary Points 3 to 57",B75&gt;=Thresholds_Rates!$C$16),$C75*Thresholds_Rates!$F$15,IF(AND(OR($B$2="New Consultant Contract"),$B75&lt;&gt;""),$C75*Thresholds_Rates!$F$15,IF(AND(OR($B$2="Clinical Lecturer / Medical Research Fellow",$B$2="Clinical Consultant - Old Contract (GP)"),$B75&lt;&gt;""),$C75*Thresholds_Rates!$F$15,IF(OR($B$2="APM Level 7",$B$2="R&amp;T Level 7"),$C75*Thresholds_Rates!$F$15,IF(SUMIF(Grades!$A:$A,$B$2,Grades!$BO:$BO)=1,$C75*Thresholds_Rates!$F$15,""))))))))</f>
        <v/>
      </c>
      <c r="G75" s="81" t="str">
        <f ca="1">IF(B75="","",IF($B$2="Salary Points 1 to 57","-",IF(SUMIF(Grades!$A:$A,$B$2,Grades!$BP:$BP)=0,"-",IF(AND(OR($B$2="New Consultant Contract"),$B75&lt;&gt;""),$C75*Thresholds_Rates!$F$16,IF(AND(OR($B$2="Clinical Lecturer / Medical Research Fellow",$B$2="Clinical Consultant - Old Contract (GP)"),$B75&lt;&gt;""),$C75*Thresholds_Rates!$F$16,IF(AND(OR($B$2="APM Level 7",$B$2="R&amp;T Level 7"),F75&lt;&gt;""),$C75*Thresholds_Rates!$F$16,IF(SUMIF(Grades!$A:$A,$B$2,Grades!$BP:$BP)=1,$C75*Thresholds_Rates!$F$16,"")))))))</f>
        <v/>
      </c>
      <c r="H75" s="81" t="str">
        <f ca="1">IF(B75="","",IF(SUMIF(Grades!$A:$A,$B$2,Grades!$BQ:$BQ)=0,"-",IF(AND($B$2="Salary Points 1 to 57",B75&gt;Thresholds_Rates!$C$17),"-",IF(AND($B$2="Salary Points 1 to 57",B75&lt;=Thresholds_Rates!$C$17),$C75*Thresholds_Rates!$F$17,IF(AND(OR($B$2="New Consultant Contract"),$B75&lt;&gt;""),$C75*Thresholds_Rates!$F$17,IF(AND(OR($B$2="Clinical Lecturer / Medical Research Fellow",$B$2="Clinical Consultant - Old Contract (GP)"),$B75&lt;&gt;""),$C75*Thresholds_Rates!$F$17,IF(AND(OR($B$2="APM Level 7",$B$2="R&amp;T Level 7"),G75&lt;&gt;""),$C75*Thresholds_Rates!$F$17,IF(SUMIF(Grades!$A:$A,$B$2,Grades!$BQ:$BQ)=1,$C75*Thresholds_Rates!$F$17,""))))))))</f>
        <v/>
      </c>
      <c r="I75" s="81" t="str">
        <f ca="1">IF($B75="","",ROUND(($C75-(Thresholds_Rates!$C$5*12))*Thresholds_Rates!$C$10,0))</f>
        <v/>
      </c>
      <c r="J75" s="81" t="str">
        <f ca="1">IF(B75="","",(C75*Thresholds_Rates!$C$12))</f>
        <v/>
      </c>
      <c r="K75" s="81" t="str">
        <f ca="1">IF(B75="","",IF(AND($B$2="Salary Points 1 to 57",B75&gt;Thresholds_Rates!$C$17),"-",IF(SUMIF(Grades!$A:$A,$B$2,Grades!$BR:$BR)=0,"-",IF(AND($B$2="Salary Points 1 to 57",B75&lt;=Thresholds_Rates!$C$17),$C75*Thresholds_Rates!$F$18,IF(AND(OR($B$2="New Consultant Contract"),$B75&lt;&gt;""),$C75*Thresholds_Rates!$F$18,IF(AND(OR($B$2="Clinical Lecturer / Medical Research Fellow",$B$2="Clinical Consultant - Old Contract (GP)"),$B75&lt;&gt;""),$C75*Thresholds_Rates!$F$18,IF(AND(OR($B$2="APM Level 7",$B$2="R&amp;T Level 7"),I75&lt;&gt;""),$C75*Thresholds_Rates!$F$18,IF(SUMIF(Grades!$A:$A,$B$2,Grades!$BQ:$BQ)=1,$C75*Thresholds_Rates!$F$18,""))))))))</f>
        <v/>
      </c>
      <c r="L75" s="68"/>
      <c r="M75" s="81" t="str">
        <f t="shared" ca="1" si="6"/>
        <v/>
      </c>
      <c r="N75" s="81" t="str">
        <f t="shared" ca="1" si="7"/>
        <v/>
      </c>
      <c r="O75" s="81" t="str">
        <f t="shared" ca="1" si="8"/>
        <v/>
      </c>
      <c r="P75" s="81" t="str">
        <f t="shared" ca="1" si="9"/>
        <v/>
      </c>
      <c r="Q75" s="81" t="str">
        <f t="shared" ca="1" si="10"/>
        <v/>
      </c>
      <c r="S75" s="83" t="str">
        <f ca="1">IF(B75="","",IF($B$2="R&amp;T Level 5 - Clinical Lecturers (Vet School)",SUMIF('Points Lookup'!$V:$V,$B75,'Points Lookup'!$W:$W),IF($B$2="R&amp;T Level 6 - Clinical Associate Professors and Clinical Readers (Vet School)",SUMIF('Points Lookup'!$AC:$AC,$B75,'Points Lookup'!$AD:$AD),"")))</f>
        <v/>
      </c>
      <c r="T75" s="84" t="str">
        <f ca="1">IF(B75="","",IF($B$2="R&amp;T Level 5 - Clinical Lecturers (Vet School)",$C75-SUMIF('Points Lookup'!$V:$V,$B75,'Points Lookup'!$X:$X),IF($B$2="R&amp;T Level 6 - Clinical Associate Professors and Clinical Readers (Vet School)",$C75-SUMIF('Points Lookup'!$AC:$AC,$B75,'Points Lookup'!$AE:$AE),"")))</f>
        <v/>
      </c>
      <c r="U75" s="83" t="str">
        <f ca="1">IF(B75="","",IF($B$2="R&amp;T Level 5 - Clinical Lecturers (Vet School)",SUMIF('Points Lookup'!$V:$V,$B75,'Points Lookup'!$Z:$Z),IF($B$2="R&amp;T Level 6 - Clinical Associate Professors and Clinical Readers (Vet School)",SUMIF('Points Lookup'!$AC:$AC,$B75,'Points Lookup'!$AG:$AG),"")))</f>
        <v/>
      </c>
      <c r="V75" s="84" t="str">
        <f t="shared" ca="1" si="11"/>
        <v/>
      </c>
    </row>
    <row r="76" spans="2:22" x14ac:dyDescent="0.25">
      <c r="B76" s="68" t="str">
        <f ca="1">IFERROR(INDEX('Points Lookup'!$A:$A,MATCH($AA78,'Points Lookup'!$AN:$AN,0)),"")</f>
        <v/>
      </c>
      <c r="C76" s="81" t="str">
        <f ca="1">IF(B76="","",IF($B$2="Apprenticeship",SUMIF('Points Lookup'!$AJ:$AJ,B76,'Points Lookup'!$AL:$AL),IF(AND(OR($B$2="New Consultant Contract"),$B76&lt;&gt;""),INDEX('Points Lookup'!$T:$T,MATCH($B76,'Points Lookup'!$S:$S,0)),IF(AND(OR($B$2="Clinical Lecturer / Medical Research Fellow",$B$2="Clinical Consultant - Old Contract (GP)"),$B76&lt;&gt;""),INDEX('Points Lookup'!$Q:$Q,MATCH($B76,'Points Lookup'!$P:$P,0)),IF(AND(OR($B$2="APM Level 7",$B$2="R&amp;T Level 7",$B$2="APM Level 8",$B$2="Technical Services Level 7"),B76&lt;&gt;""),INDEX('Points Lookup'!$H:$H,MATCH($AA76,'Points Lookup'!$AN:$AN,0)),IF($B$2="R&amp;T Level 5 - Clinical Lecturers (Vet School)",SUMIF('Points Lookup'!$V:$V,$B76,'Points Lookup'!$Y:$Y),IF($B$2="R&amp;T Level 6 - Clinical Associate Professors and Clinical Readers (Vet School)",SUMIF('Points Lookup'!$AC:$AC,$B76,'Points Lookup'!$AF:$AF),IFERROR(INDEX('Points Lookup'!$B:$B,MATCH($AA76,'Points Lookup'!$AN:$AN,0)),""))))))))</f>
        <v/>
      </c>
      <c r="D76" s="81"/>
      <c r="E76" s="81"/>
      <c r="F76" s="81" t="str">
        <f ca="1">IF($B76="","",IF(AND($B$2="Salary Points 3 to 57",B76&lt;Thresholds_Rates!$C$16),"-",IF(SUMIF(Grades!$A:$A,$B$2,Grades!$BO:$BO)=0,"-",IF(AND($B$2="Salary Points 3 to 57",B76&gt;=Thresholds_Rates!$C$16),$C76*Thresholds_Rates!$F$15,IF(AND(OR($B$2="New Consultant Contract"),$B76&lt;&gt;""),$C76*Thresholds_Rates!$F$15,IF(AND(OR($B$2="Clinical Lecturer / Medical Research Fellow",$B$2="Clinical Consultant - Old Contract (GP)"),$B76&lt;&gt;""),$C76*Thresholds_Rates!$F$15,IF(OR($B$2="APM Level 7",$B$2="R&amp;T Level 7"),$C76*Thresholds_Rates!$F$15,IF(SUMIF(Grades!$A:$A,$B$2,Grades!$BO:$BO)=1,$C76*Thresholds_Rates!$F$15,""))))))))</f>
        <v/>
      </c>
      <c r="G76" s="81" t="str">
        <f ca="1">IF(B76="","",IF($B$2="Salary Points 1 to 57","-",IF(SUMIF(Grades!$A:$A,$B$2,Grades!$BP:$BP)=0,"-",IF(AND(OR($B$2="New Consultant Contract"),$B76&lt;&gt;""),$C76*Thresholds_Rates!$F$16,IF(AND(OR($B$2="Clinical Lecturer / Medical Research Fellow",$B$2="Clinical Consultant - Old Contract (GP)"),$B76&lt;&gt;""),$C76*Thresholds_Rates!$F$16,IF(AND(OR($B$2="APM Level 7",$B$2="R&amp;T Level 7"),F76&lt;&gt;""),$C76*Thresholds_Rates!$F$16,IF(SUMIF(Grades!$A:$A,$B$2,Grades!$BP:$BP)=1,$C76*Thresholds_Rates!$F$16,"")))))))</f>
        <v/>
      </c>
      <c r="H76" s="81" t="str">
        <f ca="1">IF(B76="","",IF(SUMIF(Grades!$A:$A,$B$2,Grades!$BQ:$BQ)=0,"-",IF(AND($B$2="Salary Points 1 to 57",B76&gt;Thresholds_Rates!$C$17),"-",IF(AND($B$2="Salary Points 1 to 57",B76&lt;=Thresholds_Rates!$C$17),$C76*Thresholds_Rates!$F$17,IF(AND(OR($B$2="New Consultant Contract"),$B76&lt;&gt;""),$C76*Thresholds_Rates!$F$17,IF(AND(OR($B$2="Clinical Lecturer / Medical Research Fellow",$B$2="Clinical Consultant - Old Contract (GP)"),$B76&lt;&gt;""),$C76*Thresholds_Rates!$F$17,IF(AND(OR($B$2="APM Level 7",$B$2="R&amp;T Level 7"),G76&lt;&gt;""),$C76*Thresholds_Rates!$F$17,IF(SUMIF(Grades!$A:$A,$B$2,Grades!$BQ:$BQ)=1,$C76*Thresholds_Rates!$F$17,""))))))))</f>
        <v/>
      </c>
      <c r="I76" s="81" t="str">
        <f ca="1">IF($B76="","",ROUND(($C76-(Thresholds_Rates!$C$5*12))*Thresholds_Rates!$C$10,0))</f>
        <v/>
      </c>
      <c r="J76" s="81" t="str">
        <f ca="1">IF(B76="","",(C76*Thresholds_Rates!$C$12))</f>
        <v/>
      </c>
      <c r="K76" s="81" t="str">
        <f ca="1">IF(B76="","",IF(AND($B$2="Salary Points 1 to 57",B76&gt;Thresholds_Rates!$C$17),"-",IF(SUMIF(Grades!$A:$A,$B$2,Grades!$BR:$BR)=0,"-",IF(AND($B$2="Salary Points 1 to 57",B76&lt;=Thresholds_Rates!$C$17),$C76*Thresholds_Rates!$F$18,IF(AND(OR($B$2="New Consultant Contract"),$B76&lt;&gt;""),$C76*Thresholds_Rates!$F$18,IF(AND(OR($B$2="Clinical Lecturer / Medical Research Fellow",$B$2="Clinical Consultant - Old Contract (GP)"),$B76&lt;&gt;""),$C76*Thresholds_Rates!$F$18,IF(AND(OR($B$2="APM Level 7",$B$2="R&amp;T Level 7"),I76&lt;&gt;""),$C76*Thresholds_Rates!$F$18,IF(SUMIF(Grades!$A:$A,$B$2,Grades!$BQ:$BQ)=1,$C76*Thresholds_Rates!$F$18,""))))))))</f>
        <v/>
      </c>
      <c r="L76" s="68"/>
      <c r="M76" s="81" t="str">
        <f t="shared" ca="1" si="6"/>
        <v/>
      </c>
      <c r="N76" s="81" t="str">
        <f t="shared" ca="1" si="7"/>
        <v/>
      </c>
      <c r="O76" s="81" t="str">
        <f t="shared" ca="1" si="8"/>
        <v/>
      </c>
      <c r="P76" s="81" t="str">
        <f t="shared" ca="1" si="9"/>
        <v/>
      </c>
      <c r="Q76" s="81" t="str">
        <f t="shared" ca="1" si="10"/>
        <v/>
      </c>
      <c r="S76" s="83" t="str">
        <f ca="1">IF(B76="","",IF($B$2="R&amp;T Level 5 - Clinical Lecturers (Vet School)",SUMIF('Points Lookup'!$V:$V,$B76,'Points Lookup'!$W:$W),IF($B$2="R&amp;T Level 6 - Clinical Associate Professors and Clinical Readers (Vet School)",SUMIF('Points Lookup'!$AC:$AC,$B76,'Points Lookup'!$AD:$AD),"")))</f>
        <v/>
      </c>
      <c r="T76" s="84" t="str">
        <f ca="1">IF(B76="","",IF($B$2="R&amp;T Level 5 - Clinical Lecturers (Vet School)",$C76-SUMIF('Points Lookup'!$V:$V,$B76,'Points Lookup'!$X:$X),IF($B$2="R&amp;T Level 6 - Clinical Associate Professors and Clinical Readers (Vet School)",$C76-SUMIF('Points Lookup'!$AC:$AC,$B76,'Points Lookup'!$AE:$AE),"")))</f>
        <v/>
      </c>
      <c r="U76" s="83" t="str">
        <f ca="1">IF(B76="","",IF($B$2="R&amp;T Level 5 - Clinical Lecturers (Vet School)",SUMIF('Points Lookup'!$V:$V,$B76,'Points Lookup'!$Z:$Z),IF($B$2="R&amp;T Level 6 - Clinical Associate Professors and Clinical Readers (Vet School)",SUMIF('Points Lookup'!$AC:$AC,$B76,'Points Lookup'!$AG:$AG),"")))</f>
        <v/>
      </c>
      <c r="V76" s="84" t="str">
        <f t="shared" ca="1" si="11"/>
        <v/>
      </c>
    </row>
    <row r="77" spans="2:22" x14ac:dyDescent="0.25">
      <c r="B77" s="68" t="str">
        <f ca="1">IFERROR(INDEX('Points Lookup'!$A:$A,MATCH($AA79,'Points Lookup'!$AN:$AN,0)),"")</f>
        <v/>
      </c>
      <c r="C77" s="81" t="str">
        <f ca="1">IF(B77="","",IF($B$2="Apprenticeship",SUMIF('Points Lookup'!$AJ:$AJ,B77,'Points Lookup'!$AL:$AL),IF(AND(OR($B$2="New Consultant Contract"),$B77&lt;&gt;""),INDEX('Points Lookup'!$T:$T,MATCH($B77,'Points Lookup'!$S:$S,0)),IF(AND(OR($B$2="Clinical Lecturer / Medical Research Fellow",$B$2="Clinical Consultant - Old Contract (GP)"),$B77&lt;&gt;""),INDEX('Points Lookup'!$Q:$Q,MATCH($B77,'Points Lookup'!$P:$P,0)),IF(AND(OR($B$2="APM Level 7",$B$2="R&amp;T Level 7",$B$2="APM Level 8",$B$2="Technical Services Level 7"),B77&lt;&gt;""),INDEX('Points Lookup'!$H:$H,MATCH($AA77,'Points Lookup'!$AN:$AN,0)),IF($B$2="R&amp;T Level 5 - Clinical Lecturers (Vet School)",SUMIF('Points Lookup'!$V:$V,$B77,'Points Lookup'!$Y:$Y),IF($B$2="R&amp;T Level 6 - Clinical Associate Professors and Clinical Readers (Vet School)",SUMIF('Points Lookup'!$AC:$AC,$B77,'Points Lookup'!$AF:$AF),IFERROR(INDEX('Points Lookup'!$B:$B,MATCH($AA77,'Points Lookup'!$AN:$AN,0)),""))))))))</f>
        <v/>
      </c>
      <c r="D77" s="81"/>
      <c r="E77" s="81"/>
      <c r="F77" s="81" t="str">
        <f ca="1">IF($B77="","",IF(AND($B$2="Salary Points 3 to 57",B77&lt;Thresholds_Rates!$C$16),"-",IF(SUMIF(Grades!$A:$A,$B$2,Grades!$BO:$BO)=0,"-",IF(AND($B$2="Salary Points 3 to 57",B77&gt;=Thresholds_Rates!$C$16),$C77*Thresholds_Rates!$F$15,IF(AND(OR($B$2="New Consultant Contract"),$B77&lt;&gt;""),$C77*Thresholds_Rates!$F$15,IF(AND(OR($B$2="Clinical Lecturer / Medical Research Fellow",$B$2="Clinical Consultant - Old Contract (GP)"),$B77&lt;&gt;""),$C77*Thresholds_Rates!$F$15,IF(OR($B$2="APM Level 7",$B$2="R&amp;T Level 7"),$C77*Thresholds_Rates!$F$15,IF(SUMIF(Grades!$A:$A,$B$2,Grades!$BO:$BO)=1,$C77*Thresholds_Rates!$F$15,""))))))))</f>
        <v/>
      </c>
      <c r="G77" s="81" t="str">
        <f ca="1">IF(B77="","",IF($B$2="Salary Points 1 to 57","-",IF(SUMIF(Grades!$A:$A,$B$2,Grades!$BP:$BP)=0,"-",IF(AND(OR($B$2="New Consultant Contract"),$B77&lt;&gt;""),$C77*Thresholds_Rates!$F$16,IF(AND(OR($B$2="Clinical Lecturer / Medical Research Fellow",$B$2="Clinical Consultant - Old Contract (GP)"),$B77&lt;&gt;""),$C77*Thresholds_Rates!$F$16,IF(AND(OR($B$2="APM Level 7",$B$2="R&amp;T Level 7"),F77&lt;&gt;""),$C77*Thresholds_Rates!$F$16,IF(SUMIF(Grades!$A:$A,$B$2,Grades!$BP:$BP)=1,$C77*Thresholds_Rates!$F$16,"")))))))</f>
        <v/>
      </c>
      <c r="H77" s="81" t="str">
        <f ca="1">IF(B77="","",IF(SUMIF(Grades!$A:$A,$B$2,Grades!$BQ:$BQ)=0,"-",IF(AND($B$2="Salary Points 1 to 57",B77&gt;Thresholds_Rates!$C$17),"-",IF(AND($B$2="Salary Points 1 to 57",B77&lt;=Thresholds_Rates!$C$17),$C77*Thresholds_Rates!$F$17,IF(AND(OR($B$2="New Consultant Contract"),$B77&lt;&gt;""),$C77*Thresholds_Rates!$F$17,IF(AND(OR($B$2="Clinical Lecturer / Medical Research Fellow",$B$2="Clinical Consultant - Old Contract (GP)"),$B77&lt;&gt;""),$C77*Thresholds_Rates!$F$17,IF(AND(OR($B$2="APM Level 7",$B$2="R&amp;T Level 7"),G77&lt;&gt;""),$C77*Thresholds_Rates!$F$17,IF(SUMIF(Grades!$A:$A,$B$2,Grades!$BQ:$BQ)=1,$C77*Thresholds_Rates!$F$17,""))))))))</f>
        <v/>
      </c>
      <c r="I77" s="81" t="str">
        <f ca="1">IF($B77="","",ROUND(($C77-(Thresholds_Rates!$C$5*12))*Thresholds_Rates!$C$10,0))</f>
        <v/>
      </c>
      <c r="J77" s="81" t="str">
        <f ca="1">IF(B77="","",(C77*Thresholds_Rates!$C$12))</f>
        <v/>
      </c>
      <c r="K77" s="81" t="str">
        <f ca="1">IF(B77="","",IF(AND($B$2="Salary Points 1 to 57",B77&gt;Thresholds_Rates!$C$17),"-",IF(SUMIF(Grades!$A:$A,$B$2,Grades!$BR:$BR)=0,"-",IF(AND($B$2="Salary Points 1 to 57",B77&lt;=Thresholds_Rates!$C$17),$C77*Thresholds_Rates!$F$18,IF(AND(OR($B$2="New Consultant Contract"),$B77&lt;&gt;""),$C77*Thresholds_Rates!$F$18,IF(AND(OR($B$2="Clinical Lecturer / Medical Research Fellow",$B$2="Clinical Consultant - Old Contract (GP)"),$B77&lt;&gt;""),$C77*Thresholds_Rates!$F$18,IF(AND(OR($B$2="APM Level 7",$B$2="R&amp;T Level 7"),I77&lt;&gt;""),$C77*Thresholds_Rates!$F$18,IF(SUMIF(Grades!$A:$A,$B$2,Grades!$BQ:$BQ)=1,$C77*Thresholds_Rates!$F$18,""))))))))</f>
        <v/>
      </c>
      <c r="L77" s="68"/>
      <c r="M77" s="81" t="str">
        <f t="shared" ca="1" si="6"/>
        <v/>
      </c>
      <c r="N77" s="81" t="str">
        <f t="shared" ca="1" si="7"/>
        <v/>
      </c>
      <c r="O77" s="81" t="str">
        <f t="shared" ca="1" si="8"/>
        <v/>
      </c>
      <c r="P77" s="81" t="str">
        <f t="shared" ca="1" si="9"/>
        <v/>
      </c>
      <c r="Q77" s="81" t="str">
        <f t="shared" ca="1" si="10"/>
        <v/>
      </c>
      <c r="S77" s="83" t="str">
        <f ca="1">IF(B77="","",IF($B$2="R&amp;T Level 5 - Clinical Lecturers (Vet School)",SUMIF('Points Lookup'!$V:$V,$B77,'Points Lookup'!$W:$W),IF($B$2="R&amp;T Level 6 - Clinical Associate Professors and Clinical Readers (Vet School)",SUMIF('Points Lookup'!$AC:$AC,$B77,'Points Lookup'!$AD:$AD),"")))</f>
        <v/>
      </c>
      <c r="T77" s="84" t="str">
        <f ca="1">IF(B77="","",IF($B$2="R&amp;T Level 5 - Clinical Lecturers (Vet School)",$C77-SUMIF('Points Lookup'!$V:$V,$B77,'Points Lookup'!$X:$X),IF($B$2="R&amp;T Level 6 - Clinical Associate Professors and Clinical Readers (Vet School)",$C77-SUMIF('Points Lookup'!$AC:$AC,$B77,'Points Lookup'!$AE:$AE),"")))</f>
        <v/>
      </c>
      <c r="U77" s="83" t="str">
        <f ca="1">IF(B77="","",IF($B$2="R&amp;T Level 5 - Clinical Lecturers (Vet School)",SUMIF('Points Lookup'!$V:$V,$B77,'Points Lookup'!$Z:$Z),IF($B$2="R&amp;T Level 6 - Clinical Associate Professors and Clinical Readers (Vet School)",SUMIF('Points Lookup'!$AC:$AC,$B77,'Points Lookup'!$AG:$AG),"")))</f>
        <v/>
      </c>
      <c r="V77" s="84" t="str">
        <f t="shared" ca="1" si="11"/>
        <v/>
      </c>
    </row>
    <row r="78" spans="2:22" x14ac:dyDescent="0.25">
      <c r="B78" s="68" t="str">
        <f ca="1">IFERROR(INDEX('Points Lookup'!$A:$A,MATCH($AA80,'Points Lookup'!$AN:$AN,0)),"")</f>
        <v/>
      </c>
      <c r="C78" s="81" t="str">
        <f ca="1">IF(B78="","",IF($B$2="Apprenticeship",SUMIF('Points Lookup'!$AJ:$AJ,B78,'Points Lookup'!$AL:$AL),IF(AND(OR($B$2="New Consultant Contract"),$B78&lt;&gt;""),INDEX('Points Lookup'!$T:$T,MATCH($B78,'Points Lookup'!$S:$S,0)),IF(AND(OR($B$2="Clinical Lecturer / Medical Research Fellow",$B$2="Clinical Consultant - Old Contract (GP)"),$B78&lt;&gt;""),INDEX('Points Lookup'!$Q:$Q,MATCH($B78,'Points Lookup'!$P:$P,0)),IF(AND(OR($B$2="APM Level 7",$B$2="R&amp;T Level 7",$B$2="APM Level 8",$B$2="Technical Services Level 7"),B78&lt;&gt;""),INDEX('Points Lookup'!$H:$H,MATCH($AA78,'Points Lookup'!$AN:$AN,0)),IF($B$2="R&amp;T Level 5 - Clinical Lecturers (Vet School)",SUMIF('Points Lookup'!$V:$V,$B78,'Points Lookup'!$Y:$Y),IF($B$2="R&amp;T Level 6 - Clinical Associate Professors and Clinical Readers (Vet School)",SUMIF('Points Lookup'!$AC:$AC,$B78,'Points Lookup'!$AF:$AF),IFERROR(INDEX('Points Lookup'!$B:$B,MATCH($AA78,'Points Lookup'!$AN:$AN,0)),""))))))))</f>
        <v/>
      </c>
      <c r="D78" s="81"/>
      <c r="E78" s="81"/>
      <c r="F78" s="81" t="str">
        <f ca="1">IF($B78="","",IF(AND($B$2="Salary Points 3 to 57",B78&lt;Thresholds_Rates!$C$16),"-",IF(SUMIF(Grades!$A:$A,$B$2,Grades!$BO:$BO)=0,"-",IF(AND($B$2="Salary Points 3 to 57",B78&gt;=Thresholds_Rates!$C$16),$C78*Thresholds_Rates!$F$15,IF(AND(OR($B$2="New Consultant Contract"),$B78&lt;&gt;""),$C78*Thresholds_Rates!$F$15,IF(AND(OR($B$2="Clinical Lecturer / Medical Research Fellow",$B$2="Clinical Consultant - Old Contract (GP)"),$B78&lt;&gt;""),$C78*Thresholds_Rates!$F$15,IF(OR($B$2="APM Level 7",$B$2="R&amp;T Level 7"),$C78*Thresholds_Rates!$F$15,IF(SUMIF(Grades!$A:$A,$B$2,Grades!$BO:$BO)=1,$C78*Thresholds_Rates!$F$15,""))))))))</f>
        <v/>
      </c>
      <c r="G78" s="81" t="str">
        <f ca="1">IF(B78="","",IF($B$2="Salary Points 1 to 57","-",IF(SUMIF(Grades!$A:$A,$B$2,Grades!$BP:$BP)=0,"-",IF(AND(OR($B$2="New Consultant Contract"),$B78&lt;&gt;""),$C78*Thresholds_Rates!$F$16,IF(AND(OR($B$2="Clinical Lecturer / Medical Research Fellow",$B$2="Clinical Consultant - Old Contract (GP)"),$B78&lt;&gt;""),$C78*Thresholds_Rates!$F$16,IF(AND(OR($B$2="APM Level 7",$B$2="R&amp;T Level 7"),F78&lt;&gt;""),$C78*Thresholds_Rates!$F$16,IF(SUMIF(Grades!$A:$A,$B$2,Grades!$BP:$BP)=1,$C78*Thresholds_Rates!$F$16,"")))))))</f>
        <v/>
      </c>
      <c r="H78" s="81" t="str">
        <f ca="1">IF(B78="","",IF(SUMIF(Grades!$A:$A,$B$2,Grades!$BQ:$BQ)=0,"-",IF(AND($B$2="Salary Points 1 to 57",B78&gt;Thresholds_Rates!$C$17),"-",IF(AND($B$2="Salary Points 1 to 57",B78&lt;=Thresholds_Rates!$C$17),$C78*Thresholds_Rates!$F$17,IF(AND(OR($B$2="New Consultant Contract"),$B78&lt;&gt;""),$C78*Thresholds_Rates!$F$17,IF(AND(OR($B$2="Clinical Lecturer / Medical Research Fellow",$B$2="Clinical Consultant - Old Contract (GP)"),$B78&lt;&gt;""),$C78*Thresholds_Rates!$F$17,IF(AND(OR($B$2="APM Level 7",$B$2="R&amp;T Level 7"),G78&lt;&gt;""),$C78*Thresholds_Rates!$F$17,IF(SUMIF(Grades!$A:$A,$B$2,Grades!$BQ:$BQ)=1,$C78*Thresholds_Rates!$F$17,""))))))))</f>
        <v/>
      </c>
      <c r="I78" s="81" t="str">
        <f ca="1">IF($B78="","",ROUND(($C78-(Thresholds_Rates!$C$5*12))*Thresholds_Rates!$C$10,0))</f>
        <v/>
      </c>
      <c r="J78" s="81" t="str">
        <f ca="1">IF(B78="","",(C78*Thresholds_Rates!$C$12))</f>
        <v/>
      </c>
      <c r="K78" s="81" t="str">
        <f ca="1">IF(B78="","",IF(AND($B$2="Salary Points 1 to 57",B78&gt;Thresholds_Rates!$C$17),"-",IF(SUMIF(Grades!$A:$A,$B$2,Grades!$BR:$BR)=0,"-",IF(AND($B$2="Salary Points 1 to 57",B78&lt;=Thresholds_Rates!$C$17),$C78*Thresholds_Rates!$F$18,IF(AND(OR($B$2="New Consultant Contract"),$B78&lt;&gt;""),$C78*Thresholds_Rates!$F$18,IF(AND(OR($B$2="Clinical Lecturer / Medical Research Fellow",$B$2="Clinical Consultant - Old Contract (GP)"),$B78&lt;&gt;""),$C78*Thresholds_Rates!$F$18,IF(AND(OR($B$2="APM Level 7",$B$2="R&amp;T Level 7"),I78&lt;&gt;""),$C78*Thresholds_Rates!$F$18,IF(SUMIF(Grades!$A:$A,$B$2,Grades!$BQ:$BQ)=1,$C78*Thresholds_Rates!$F$18,""))))))))</f>
        <v/>
      </c>
      <c r="L78" s="68"/>
      <c r="M78" s="81" t="str">
        <f t="shared" ca="1" si="6"/>
        <v/>
      </c>
      <c r="N78" s="81" t="str">
        <f t="shared" ca="1" si="7"/>
        <v/>
      </c>
      <c r="O78" s="81" t="str">
        <f t="shared" ca="1" si="8"/>
        <v/>
      </c>
      <c r="P78" s="81" t="str">
        <f t="shared" ca="1" si="9"/>
        <v/>
      </c>
      <c r="Q78" s="81" t="str">
        <f t="shared" ca="1" si="10"/>
        <v/>
      </c>
      <c r="S78" s="83" t="str">
        <f ca="1">IF(B78="","",IF($B$2="R&amp;T Level 5 - Clinical Lecturers (Vet School)",SUMIF('Points Lookup'!$V:$V,$B78,'Points Lookup'!$W:$W),IF($B$2="R&amp;T Level 6 - Clinical Associate Professors and Clinical Readers (Vet School)",SUMIF('Points Lookup'!$AC:$AC,$B78,'Points Lookup'!$AD:$AD),"")))</f>
        <v/>
      </c>
      <c r="T78" s="84" t="str">
        <f ca="1">IF(B78="","",IF($B$2="R&amp;T Level 5 - Clinical Lecturers (Vet School)",$C78-SUMIF('Points Lookup'!$V:$V,$B78,'Points Lookup'!$X:$X),IF($B$2="R&amp;T Level 6 - Clinical Associate Professors and Clinical Readers (Vet School)",$C78-SUMIF('Points Lookup'!$AC:$AC,$B78,'Points Lookup'!$AE:$AE),"")))</f>
        <v/>
      </c>
      <c r="U78" s="83" t="str">
        <f ca="1">IF(B78="","",IF($B$2="R&amp;T Level 5 - Clinical Lecturers (Vet School)",SUMIF('Points Lookup'!$V:$V,$B78,'Points Lookup'!$Z:$Z),IF($B$2="R&amp;T Level 6 - Clinical Associate Professors and Clinical Readers (Vet School)",SUMIF('Points Lookup'!$AC:$AC,$B78,'Points Lookup'!$AG:$AG),"")))</f>
        <v/>
      </c>
      <c r="V78" s="84" t="str">
        <f t="shared" ca="1" si="11"/>
        <v/>
      </c>
    </row>
    <row r="79" spans="2:22" x14ac:dyDescent="0.25">
      <c r="B79" s="68" t="str">
        <f ca="1">IFERROR(INDEX('Points Lookup'!$A:$A,MATCH($AA81,'Points Lookup'!$AN:$AN,0)),"")</f>
        <v/>
      </c>
      <c r="C79" s="81" t="str">
        <f ca="1">IF(B79="","",IF($B$2="Apprenticeship",SUMIF('Points Lookup'!$AJ:$AJ,B79,'Points Lookup'!$AL:$AL),IF(AND(OR($B$2="New Consultant Contract"),$B79&lt;&gt;""),INDEX('Points Lookup'!$T:$T,MATCH($B79,'Points Lookup'!$S:$S,0)),IF(AND(OR($B$2="Clinical Lecturer / Medical Research Fellow",$B$2="Clinical Consultant - Old Contract (GP)"),$B79&lt;&gt;""),INDEX('Points Lookup'!$Q:$Q,MATCH($B79,'Points Lookup'!$P:$P,0)),IF(AND(OR($B$2="APM Level 7",$B$2="R&amp;T Level 7",$B$2="APM Level 8",$B$2="Technical Services Level 7"),B79&lt;&gt;""),INDEX('Points Lookup'!$H:$H,MATCH($AA79,'Points Lookup'!$AN:$AN,0)),IF($B$2="R&amp;T Level 5 - Clinical Lecturers (Vet School)",SUMIF('Points Lookup'!$V:$V,$B79,'Points Lookup'!$Y:$Y),IF($B$2="R&amp;T Level 6 - Clinical Associate Professors and Clinical Readers (Vet School)",SUMIF('Points Lookup'!$AC:$AC,$B79,'Points Lookup'!$AF:$AF),IFERROR(INDEX('Points Lookup'!$B:$B,MATCH($AA79,'Points Lookup'!$AN:$AN,0)),""))))))))</f>
        <v/>
      </c>
      <c r="D79" s="81"/>
      <c r="E79" s="81"/>
      <c r="F79" s="81" t="str">
        <f ca="1">IF($B79="","",IF(AND($B$2="Salary Points 3 to 57",B79&lt;Thresholds_Rates!$C$16),"-",IF(SUMIF(Grades!$A:$A,$B$2,Grades!$BO:$BO)=0,"-",IF(AND($B$2="Salary Points 3 to 57",B79&gt;=Thresholds_Rates!$C$16),$C79*Thresholds_Rates!$F$15,IF(AND(OR($B$2="New Consultant Contract"),$B79&lt;&gt;""),$C79*Thresholds_Rates!$F$15,IF(AND(OR($B$2="Clinical Lecturer / Medical Research Fellow",$B$2="Clinical Consultant - Old Contract (GP)"),$B79&lt;&gt;""),$C79*Thresholds_Rates!$F$15,IF(OR($B$2="APM Level 7",$B$2="R&amp;T Level 7"),$C79*Thresholds_Rates!$F$15,IF(SUMIF(Grades!$A:$A,$B$2,Grades!$BO:$BO)=1,$C79*Thresholds_Rates!$F$15,""))))))))</f>
        <v/>
      </c>
      <c r="G79" s="81" t="str">
        <f ca="1">IF(B79="","",IF($B$2="Salary Points 1 to 57","-",IF(SUMIF(Grades!$A:$A,$B$2,Grades!$BP:$BP)=0,"-",IF(AND(OR($B$2="New Consultant Contract"),$B79&lt;&gt;""),$C79*Thresholds_Rates!$F$16,IF(AND(OR($B$2="Clinical Lecturer / Medical Research Fellow",$B$2="Clinical Consultant - Old Contract (GP)"),$B79&lt;&gt;""),$C79*Thresholds_Rates!$F$16,IF(AND(OR($B$2="APM Level 7",$B$2="R&amp;T Level 7"),F79&lt;&gt;""),$C79*Thresholds_Rates!$F$16,IF(SUMIF(Grades!$A:$A,$B$2,Grades!$BP:$BP)=1,$C79*Thresholds_Rates!$F$16,"")))))))</f>
        <v/>
      </c>
      <c r="H79" s="81" t="str">
        <f ca="1">IF(B79="","",IF(SUMIF(Grades!$A:$A,$B$2,Grades!$BQ:$BQ)=0,"-",IF(AND($B$2="Salary Points 1 to 57",B79&gt;Thresholds_Rates!$C$17),"-",IF(AND($B$2="Salary Points 1 to 57",B79&lt;=Thresholds_Rates!$C$17),$C79*Thresholds_Rates!$F$17,IF(AND(OR($B$2="New Consultant Contract"),$B79&lt;&gt;""),$C79*Thresholds_Rates!$F$17,IF(AND(OR($B$2="Clinical Lecturer / Medical Research Fellow",$B$2="Clinical Consultant - Old Contract (GP)"),$B79&lt;&gt;""),$C79*Thresholds_Rates!$F$17,IF(AND(OR($B$2="APM Level 7",$B$2="R&amp;T Level 7"),G79&lt;&gt;""),$C79*Thresholds_Rates!$F$17,IF(SUMIF(Grades!$A:$A,$B$2,Grades!$BQ:$BQ)=1,$C79*Thresholds_Rates!$F$17,""))))))))</f>
        <v/>
      </c>
      <c r="I79" s="81" t="str">
        <f ca="1">IF($B79="","",ROUND(($C79-(Thresholds_Rates!$C$5*12))*Thresholds_Rates!$C$10,0))</f>
        <v/>
      </c>
      <c r="J79" s="81" t="str">
        <f ca="1">IF(B79="","",(C79*Thresholds_Rates!$C$12))</f>
        <v/>
      </c>
      <c r="K79" s="81" t="str">
        <f ca="1">IF(B79="","",IF(AND($B$2="Salary Points 1 to 57",B79&gt;Thresholds_Rates!$C$17),"-",IF(SUMIF(Grades!$A:$A,$B$2,Grades!$BR:$BR)=0,"-",IF(AND($B$2="Salary Points 1 to 57",B79&lt;=Thresholds_Rates!$C$17),$C79*Thresholds_Rates!$F$18,IF(AND(OR($B$2="New Consultant Contract"),$B79&lt;&gt;""),$C79*Thresholds_Rates!$F$18,IF(AND(OR($B$2="Clinical Lecturer / Medical Research Fellow",$B$2="Clinical Consultant - Old Contract (GP)"),$B79&lt;&gt;""),$C79*Thresholds_Rates!$F$18,IF(AND(OR($B$2="APM Level 7",$B$2="R&amp;T Level 7"),I79&lt;&gt;""),$C79*Thresholds_Rates!$F$18,IF(SUMIF(Grades!$A:$A,$B$2,Grades!$BQ:$BQ)=1,$C79*Thresholds_Rates!$F$18,""))))))))</f>
        <v/>
      </c>
      <c r="L79" s="68"/>
      <c r="M79" s="81" t="str">
        <f t="shared" ca="1" si="6"/>
        <v/>
      </c>
      <c r="N79" s="81" t="str">
        <f t="shared" ca="1" si="7"/>
        <v/>
      </c>
      <c r="O79" s="81" t="str">
        <f t="shared" ca="1" si="8"/>
        <v/>
      </c>
      <c r="P79" s="81" t="str">
        <f t="shared" ca="1" si="9"/>
        <v/>
      </c>
      <c r="Q79" s="81" t="str">
        <f t="shared" ca="1" si="10"/>
        <v/>
      </c>
      <c r="S79" s="83" t="str">
        <f ca="1">IF(B79="","",IF($B$2="R&amp;T Level 5 - Clinical Lecturers (Vet School)",SUMIF('Points Lookup'!$V:$V,$B79,'Points Lookup'!$W:$W),IF($B$2="R&amp;T Level 6 - Clinical Associate Professors and Clinical Readers (Vet School)",SUMIF('Points Lookup'!$AC:$AC,$B79,'Points Lookup'!$AD:$AD),"")))</f>
        <v/>
      </c>
      <c r="T79" s="84" t="str">
        <f ca="1">IF(B79="","",IF($B$2="R&amp;T Level 5 - Clinical Lecturers (Vet School)",$C79-SUMIF('Points Lookup'!$V:$V,$B79,'Points Lookup'!$X:$X),IF($B$2="R&amp;T Level 6 - Clinical Associate Professors and Clinical Readers (Vet School)",$C79-SUMIF('Points Lookup'!$AC:$AC,$B79,'Points Lookup'!$AE:$AE),"")))</f>
        <v/>
      </c>
      <c r="U79" s="83" t="str">
        <f ca="1">IF(B79="","",IF($B$2="R&amp;T Level 5 - Clinical Lecturers (Vet School)",SUMIF('Points Lookup'!$V:$V,$B79,'Points Lookup'!$Z:$Z),IF($B$2="R&amp;T Level 6 - Clinical Associate Professors and Clinical Readers (Vet School)",SUMIF('Points Lookup'!$AC:$AC,$B79,'Points Lookup'!$AG:$AG),"")))</f>
        <v/>
      </c>
      <c r="V79" s="84" t="str">
        <f t="shared" ca="1" si="11"/>
        <v/>
      </c>
    </row>
    <row r="80" spans="2:22" x14ac:dyDescent="0.25">
      <c r="B80" s="68" t="str">
        <f ca="1">IFERROR(INDEX('Points Lookup'!$A:$A,MATCH($AA82,'Points Lookup'!$AN:$AN,0)),"")</f>
        <v/>
      </c>
      <c r="C80" s="81" t="str">
        <f ca="1">IF(B80="","",IF($B$2="Apprenticeship",SUMIF('Points Lookup'!$AJ:$AJ,B80,'Points Lookup'!$AL:$AL),IF(AND(OR($B$2="New Consultant Contract"),$B80&lt;&gt;""),INDEX('Points Lookup'!$T:$T,MATCH($B80,'Points Lookup'!$S:$S,0)),IF(AND(OR($B$2="Clinical Lecturer / Medical Research Fellow",$B$2="Clinical Consultant - Old Contract (GP)"),$B80&lt;&gt;""),INDEX('Points Lookup'!$Q:$Q,MATCH($B80,'Points Lookup'!$P:$P,0)),IF(AND(OR($B$2="APM Level 7",$B$2="R&amp;T Level 7",$B$2="APM Level 8",$B$2="Technical Services Level 7"),B80&lt;&gt;""),INDEX('Points Lookup'!$H:$H,MATCH($AA80,'Points Lookup'!$AN:$AN,0)),IF($B$2="R&amp;T Level 5 - Clinical Lecturers (Vet School)",SUMIF('Points Lookup'!$V:$V,$B80,'Points Lookup'!$Y:$Y),IF($B$2="R&amp;T Level 6 - Clinical Associate Professors and Clinical Readers (Vet School)",SUMIF('Points Lookup'!$AC:$AC,$B80,'Points Lookup'!$AF:$AF),IFERROR(INDEX('Points Lookup'!$B:$B,MATCH($AA80,'Points Lookup'!$AN:$AN,0)),""))))))))</f>
        <v/>
      </c>
      <c r="D80" s="81"/>
      <c r="E80" s="81"/>
      <c r="F80" s="81" t="str">
        <f ca="1">IF($B80="","",IF(AND($B$2="Salary Points 3 to 57",B80&lt;Thresholds_Rates!$C$16),"-",IF(SUMIF(Grades!$A:$A,$B$2,Grades!$BO:$BO)=0,"-",IF(AND($B$2="Salary Points 3 to 57",B80&gt;=Thresholds_Rates!$C$16),$C80*Thresholds_Rates!$F$15,IF(AND(OR($B$2="New Consultant Contract"),$B80&lt;&gt;""),$C80*Thresholds_Rates!$F$15,IF(AND(OR($B$2="Clinical Lecturer / Medical Research Fellow",$B$2="Clinical Consultant - Old Contract (GP)"),$B80&lt;&gt;""),$C80*Thresholds_Rates!$F$15,IF(OR($B$2="APM Level 7",$B$2="R&amp;T Level 7"),$C80*Thresholds_Rates!$F$15,IF(SUMIF(Grades!$A:$A,$B$2,Grades!$BO:$BO)=1,$C80*Thresholds_Rates!$F$15,""))))))))</f>
        <v/>
      </c>
      <c r="G80" s="81" t="str">
        <f ca="1">IF(B80="","",IF($B$2="Salary Points 1 to 57","-",IF(SUMIF(Grades!$A:$A,$B$2,Grades!$BP:$BP)=0,"-",IF(AND(OR($B$2="New Consultant Contract"),$B80&lt;&gt;""),$C80*Thresholds_Rates!$F$16,IF(AND(OR($B$2="Clinical Lecturer / Medical Research Fellow",$B$2="Clinical Consultant - Old Contract (GP)"),$B80&lt;&gt;""),$C80*Thresholds_Rates!$F$16,IF(AND(OR($B$2="APM Level 7",$B$2="R&amp;T Level 7"),F80&lt;&gt;""),$C80*Thresholds_Rates!$F$16,IF(SUMIF(Grades!$A:$A,$B$2,Grades!$BP:$BP)=1,$C80*Thresholds_Rates!$F$16,"")))))))</f>
        <v/>
      </c>
      <c r="H80" s="81" t="str">
        <f ca="1">IF(B80="","",IF(SUMIF(Grades!$A:$A,$B$2,Grades!$BQ:$BQ)=0,"-",IF(AND($B$2="Salary Points 1 to 57",B80&gt;Thresholds_Rates!$C$17),"-",IF(AND($B$2="Salary Points 1 to 57",B80&lt;=Thresholds_Rates!$C$17),$C80*Thresholds_Rates!$F$17,IF(AND(OR($B$2="New Consultant Contract"),$B80&lt;&gt;""),$C80*Thresholds_Rates!$F$17,IF(AND(OR($B$2="Clinical Lecturer / Medical Research Fellow",$B$2="Clinical Consultant - Old Contract (GP)"),$B80&lt;&gt;""),$C80*Thresholds_Rates!$F$17,IF(AND(OR($B$2="APM Level 7",$B$2="R&amp;T Level 7"),G80&lt;&gt;""),$C80*Thresholds_Rates!$F$17,IF(SUMIF(Grades!$A:$A,$B$2,Grades!$BQ:$BQ)=1,$C80*Thresholds_Rates!$F$17,""))))))))</f>
        <v/>
      </c>
      <c r="I80" s="81" t="str">
        <f ca="1">IF($B80="","",ROUND(($C80-(Thresholds_Rates!$C$5*12))*Thresholds_Rates!$C$10,0))</f>
        <v/>
      </c>
      <c r="J80" s="81" t="str">
        <f ca="1">IF(B80="","",(C80*Thresholds_Rates!$C$12))</f>
        <v/>
      </c>
      <c r="K80" s="81" t="str">
        <f ca="1">IF(B80="","",IF(AND($B$2="Salary Points 1 to 57",B80&gt;Thresholds_Rates!$C$17),"-",IF(SUMIF(Grades!$A:$A,$B$2,Grades!$BR:$BR)=0,"-",IF(AND($B$2="Salary Points 1 to 57",B80&lt;=Thresholds_Rates!$C$17),$C80*Thresholds_Rates!$F$18,IF(AND(OR($B$2="New Consultant Contract"),$B80&lt;&gt;""),$C80*Thresholds_Rates!$F$18,IF(AND(OR($B$2="Clinical Lecturer / Medical Research Fellow",$B$2="Clinical Consultant - Old Contract (GP)"),$B80&lt;&gt;""),$C80*Thresholds_Rates!$F$18,IF(AND(OR($B$2="APM Level 7",$B$2="R&amp;T Level 7"),I80&lt;&gt;""),$C80*Thresholds_Rates!$F$18,IF(SUMIF(Grades!$A:$A,$B$2,Grades!$BQ:$BQ)=1,$C80*Thresholds_Rates!$F$18,""))))))))</f>
        <v/>
      </c>
      <c r="L80" s="68"/>
      <c r="M80" s="81" t="str">
        <f t="shared" ca="1" si="6"/>
        <v/>
      </c>
      <c r="N80" s="81" t="str">
        <f t="shared" ca="1" si="7"/>
        <v/>
      </c>
      <c r="O80" s="81" t="str">
        <f t="shared" ca="1" si="8"/>
        <v/>
      </c>
      <c r="P80" s="81" t="str">
        <f t="shared" ca="1" si="9"/>
        <v/>
      </c>
      <c r="Q80" s="81" t="str">
        <f t="shared" ca="1" si="10"/>
        <v/>
      </c>
      <c r="S80" s="83" t="str">
        <f ca="1">IF(B80="","",IF($B$2="R&amp;T Level 5 - Clinical Lecturers (Vet School)",SUMIF('Points Lookup'!$V:$V,$B80,'Points Lookup'!$W:$W),IF($B$2="R&amp;T Level 6 - Clinical Associate Professors and Clinical Readers (Vet School)",SUMIF('Points Lookup'!$AC:$AC,$B80,'Points Lookup'!$AD:$AD),"")))</f>
        <v/>
      </c>
      <c r="T80" s="84" t="str">
        <f ca="1">IF(B80="","",IF($B$2="R&amp;T Level 5 - Clinical Lecturers (Vet School)",$C80-SUMIF('Points Lookup'!$V:$V,$B80,'Points Lookup'!$X:$X),IF($B$2="R&amp;T Level 6 - Clinical Associate Professors and Clinical Readers (Vet School)",$C80-SUMIF('Points Lookup'!$AC:$AC,$B80,'Points Lookup'!$AE:$AE),"")))</f>
        <v/>
      </c>
      <c r="U80" s="83" t="str">
        <f ca="1">IF(B80="","",IF($B$2="R&amp;T Level 5 - Clinical Lecturers (Vet School)",SUMIF('Points Lookup'!$V:$V,$B80,'Points Lookup'!$Z:$Z),IF($B$2="R&amp;T Level 6 - Clinical Associate Professors and Clinical Readers (Vet School)",SUMIF('Points Lookup'!$AC:$AC,$B80,'Points Lookup'!$AG:$AG),"")))</f>
        <v/>
      </c>
      <c r="V80" s="84" t="str">
        <f t="shared" ca="1" si="11"/>
        <v/>
      </c>
    </row>
    <row r="81" spans="2:22" x14ac:dyDescent="0.25">
      <c r="B81" s="68" t="str">
        <f ca="1">IFERROR(INDEX('Points Lookup'!$A:$A,MATCH($AA83,'Points Lookup'!$AN:$AN,0)),"")</f>
        <v/>
      </c>
      <c r="C81" s="81" t="str">
        <f ca="1">IF(B81="","",IF($B$2="Apprenticeship",SUMIF('Points Lookup'!$AJ:$AJ,B81,'Points Lookup'!$AL:$AL),IF(AND(OR($B$2="New Consultant Contract"),$B81&lt;&gt;""),INDEX('Points Lookup'!$T:$T,MATCH($B81,'Points Lookup'!$S:$S,0)),IF(AND(OR($B$2="Clinical Lecturer / Medical Research Fellow",$B$2="Clinical Consultant - Old Contract (GP)"),$B81&lt;&gt;""),INDEX('Points Lookup'!$Q:$Q,MATCH($B81,'Points Lookup'!$P:$P,0)),IF(AND(OR($B$2="APM Level 7",$B$2="R&amp;T Level 7",$B$2="APM Level 8",$B$2="Technical Services Level 7"),B81&lt;&gt;""),INDEX('Points Lookup'!$H:$H,MATCH($AA81,'Points Lookup'!$AN:$AN,0)),IF($B$2="R&amp;T Level 5 - Clinical Lecturers (Vet School)",SUMIF('Points Lookup'!$V:$V,$B81,'Points Lookup'!$Y:$Y),IF($B$2="R&amp;T Level 6 - Clinical Associate Professors and Clinical Readers (Vet School)",SUMIF('Points Lookup'!$AC:$AC,$B81,'Points Lookup'!$AF:$AF),IFERROR(INDEX('Points Lookup'!$B:$B,MATCH($AA81,'Points Lookup'!$AN:$AN,0)),""))))))))</f>
        <v/>
      </c>
      <c r="D81" s="81"/>
      <c r="E81" s="81"/>
      <c r="F81" s="81" t="str">
        <f ca="1">IF($B81="","",IF(AND($B$2="Salary Points 3 to 57",B81&lt;Thresholds_Rates!$C$16),"-",IF(SUMIF(Grades!$A:$A,$B$2,Grades!$BO:$BO)=0,"-",IF(AND($B$2="Salary Points 3 to 57",B81&gt;=Thresholds_Rates!$C$16),$C81*Thresholds_Rates!$F$15,IF(AND(OR($B$2="New Consultant Contract"),$B81&lt;&gt;""),$C81*Thresholds_Rates!$F$15,IF(AND(OR($B$2="Clinical Lecturer / Medical Research Fellow",$B$2="Clinical Consultant - Old Contract (GP)"),$B81&lt;&gt;""),$C81*Thresholds_Rates!$F$15,IF(OR($B$2="APM Level 7",$B$2="R&amp;T Level 7"),$C81*Thresholds_Rates!$F$15,IF(SUMIF(Grades!$A:$A,$B$2,Grades!$BO:$BO)=1,$C81*Thresholds_Rates!$F$15,""))))))))</f>
        <v/>
      </c>
      <c r="G81" s="81" t="str">
        <f ca="1">IF(B81="","",IF($B$2="Salary Points 1 to 57","-",IF(SUMIF(Grades!$A:$A,$B$2,Grades!$BP:$BP)=0,"-",IF(AND(OR($B$2="New Consultant Contract"),$B81&lt;&gt;""),$C81*Thresholds_Rates!$F$16,IF(AND(OR($B$2="Clinical Lecturer / Medical Research Fellow",$B$2="Clinical Consultant - Old Contract (GP)"),$B81&lt;&gt;""),$C81*Thresholds_Rates!$F$16,IF(AND(OR($B$2="APM Level 7",$B$2="R&amp;T Level 7"),F81&lt;&gt;""),$C81*Thresholds_Rates!$F$16,IF(SUMIF(Grades!$A:$A,$B$2,Grades!$BP:$BP)=1,$C81*Thresholds_Rates!$F$16,"")))))))</f>
        <v/>
      </c>
      <c r="H81" s="81" t="str">
        <f ca="1">IF(B81="","",IF(SUMIF(Grades!$A:$A,$B$2,Grades!$BQ:$BQ)=0,"-",IF(AND($B$2="Salary Points 1 to 57",B81&gt;Thresholds_Rates!$C$17),"-",IF(AND($B$2="Salary Points 1 to 57",B81&lt;=Thresholds_Rates!$C$17),$C81*Thresholds_Rates!$F$17,IF(AND(OR($B$2="New Consultant Contract"),$B81&lt;&gt;""),$C81*Thresholds_Rates!$F$17,IF(AND(OR($B$2="Clinical Lecturer / Medical Research Fellow",$B$2="Clinical Consultant - Old Contract (GP)"),$B81&lt;&gt;""),$C81*Thresholds_Rates!$F$17,IF(AND(OR($B$2="APM Level 7",$B$2="R&amp;T Level 7"),G81&lt;&gt;""),$C81*Thresholds_Rates!$F$17,IF(SUMIF(Grades!$A:$A,$B$2,Grades!$BQ:$BQ)=1,$C81*Thresholds_Rates!$F$17,""))))))))</f>
        <v/>
      </c>
      <c r="I81" s="81" t="str">
        <f ca="1">IF($B81="","",ROUND(($C81-(Thresholds_Rates!$C$5*12))*Thresholds_Rates!$C$10,0))</f>
        <v/>
      </c>
      <c r="J81" s="81" t="str">
        <f ca="1">IF(B81="","",(C81*Thresholds_Rates!$C$12))</f>
        <v/>
      </c>
      <c r="K81" s="81" t="str">
        <f ca="1">IF(B81="","",IF(AND($B$2="Salary Points 1 to 57",B81&gt;Thresholds_Rates!$C$17),"-",IF(SUMIF(Grades!$A:$A,$B$2,Grades!$BR:$BR)=0,"-",IF(AND($B$2="Salary Points 1 to 57",B81&lt;=Thresholds_Rates!$C$17),$C81*Thresholds_Rates!$F$18,IF(AND(OR($B$2="New Consultant Contract"),$B81&lt;&gt;""),$C81*Thresholds_Rates!$F$18,IF(AND(OR($B$2="Clinical Lecturer / Medical Research Fellow",$B$2="Clinical Consultant - Old Contract (GP)"),$B81&lt;&gt;""),$C81*Thresholds_Rates!$F$18,IF(AND(OR($B$2="APM Level 7",$B$2="R&amp;T Level 7"),I81&lt;&gt;""),$C81*Thresholds_Rates!$F$18,IF(SUMIF(Grades!$A:$A,$B$2,Grades!$BQ:$BQ)=1,$C81*Thresholds_Rates!$F$18,""))))))))</f>
        <v/>
      </c>
      <c r="L81" s="68"/>
      <c r="M81" s="81" t="str">
        <f t="shared" ca="1" si="6"/>
        <v/>
      </c>
      <c r="N81" s="81" t="str">
        <f t="shared" ca="1" si="7"/>
        <v/>
      </c>
      <c r="O81" s="81" t="str">
        <f t="shared" ca="1" si="8"/>
        <v/>
      </c>
      <c r="P81" s="81" t="str">
        <f t="shared" ca="1" si="9"/>
        <v/>
      </c>
      <c r="Q81" s="81" t="str">
        <f t="shared" ca="1" si="10"/>
        <v/>
      </c>
      <c r="S81" s="83" t="str">
        <f ca="1">IF(B81="","",IF($B$2="R&amp;T Level 5 - Clinical Lecturers (Vet School)",SUMIF('Points Lookup'!$V:$V,$B81,'Points Lookup'!$W:$W),IF($B$2="R&amp;T Level 6 - Clinical Associate Professors and Clinical Readers (Vet School)",SUMIF('Points Lookup'!$AC:$AC,$B81,'Points Lookup'!$AD:$AD),"")))</f>
        <v/>
      </c>
      <c r="T81" s="84" t="str">
        <f ca="1">IF(B81="","",IF($B$2="R&amp;T Level 5 - Clinical Lecturers (Vet School)",$C81-SUMIF('Points Lookup'!$V:$V,$B81,'Points Lookup'!$X:$X),IF($B$2="R&amp;T Level 6 - Clinical Associate Professors and Clinical Readers (Vet School)",$C81-SUMIF('Points Lookup'!$AC:$AC,$B81,'Points Lookup'!$AE:$AE),"")))</f>
        <v/>
      </c>
      <c r="U81" s="83" t="str">
        <f ca="1">IF(B81="","",IF($B$2="R&amp;T Level 5 - Clinical Lecturers (Vet School)",SUMIF('Points Lookup'!$V:$V,$B81,'Points Lookup'!$Z:$Z),IF($B$2="R&amp;T Level 6 - Clinical Associate Professors and Clinical Readers (Vet School)",SUMIF('Points Lookup'!$AC:$AC,$B81,'Points Lookup'!$AG:$AG),"")))</f>
        <v/>
      </c>
      <c r="V81" s="84" t="str">
        <f t="shared" ca="1" si="11"/>
        <v/>
      </c>
    </row>
    <row r="82" spans="2:22" x14ac:dyDescent="0.25">
      <c r="B82" s="68" t="str">
        <f ca="1">IFERROR(INDEX('Points Lookup'!$A:$A,MATCH($AA84,'Points Lookup'!$AN:$AN,0)),"")</f>
        <v/>
      </c>
      <c r="C82" s="81" t="str">
        <f ca="1">IF(B82="","",IF($B$2="Apprenticeship",SUMIF('Points Lookup'!$AJ:$AJ,B82,'Points Lookup'!$AL:$AL),IF(AND(OR($B$2="New Consultant Contract"),$B82&lt;&gt;""),INDEX('Points Lookup'!$T:$T,MATCH($B82,'Points Lookup'!$S:$S,0)),IF(AND(OR($B$2="Clinical Lecturer / Medical Research Fellow",$B$2="Clinical Consultant - Old Contract (GP)"),$B82&lt;&gt;""),INDEX('Points Lookup'!$Q:$Q,MATCH($B82,'Points Lookup'!$P:$P,0)),IF(AND(OR($B$2="APM Level 7",$B$2="R&amp;T Level 7",$B$2="APM Level 8",$B$2="Technical Services Level 7"),B82&lt;&gt;""),INDEX('Points Lookup'!$H:$H,MATCH($AA82,'Points Lookup'!$AN:$AN,0)),IF($B$2="R&amp;T Level 5 - Clinical Lecturers (Vet School)",SUMIF('Points Lookup'!$V:$V,$B82,'Points Lookup'!$Y:$Y),IF($B$2="R&amp;T Level 6 - Clinical Associate Professors and Clinical Readers (Vet School)",SUMIF('Points Lookup'!$AC:$AC,$B82,'Points Lookup'!$AF:$AF),IFERROR(INDEX('Points Lookup'!$B:$B,MATCH($AA82,'Points Lookup'!$AN:$AN,0)),""))))))))</f>
        <v/>
      </c>
      <c r="D82" s="81"/>
      <c r="E82" s="81"/>
      <c r="F82" s="81" t="str">
        <f ca="1">IF($B82="","",IF(AND($B$2="Salary Points 3 to 57",B82&lt;Thresholds_Rates!$C$16),"-",IF(SUMIF(Grades!$A:$A,$B$2,Grades!$BO:$BO)=0,"-",IF(AND($B$2="Salary Points 3 to 57",B82&gt;=Thresholds_Rates!$C$16),$C82*Thresholds_Rates!$F$15,IF(AND(OR($B$2="New Consultant Contract"),$B82&lt;&gt;""),$C82*Thresholds_Rates!$F$15,IF(AND(OR($B$2="Clinical Lecturer / Medical Research Fellow",$B$2="Clinical Consultant - Old Contract (GP)"),$B82&lt;&gt;""),$C82*Thresholds_Rates!$F$15,IF(OR($B$2="APM Level 7",$B$2="R&amp;T Level 7"),$C82*Thresholds_Rates!$F$15,IF(SUMIF(Grades!$A:$A,$B$2,Grades!$BO:$BO)=1,$C82*Thresholds_Rates!$F$15,""))))))))</f>
        <v/>
      </c>
      <c r="G82" s="81" t="str">
        <f ca="1">IF(B82="","",IF($B$2="Salary Points 1 to 57","-",IF(SUMIF(Grades!$A:$A,$B$2,Grades!$BP:$BP)=0,"-",IF(AND(OR($B$2="New Consultant Contract"),$B82&lt;&gt;""),$C82*Thresholds_Rates!$F$16,IF(AND(OR($B$2="Clinical Lecturer / Medical Research Fellow",$B$2="Clinical Consultant - Old Contract (GP)"),$B82&lt;&gt;""),$C82*Thresholds_Rates!$F$16,IF(AND(OR($B$2="APM Level 7",$B$2="R&amp;T Level 7"),F82&lt;&gt;""),$C82*Thresholds_Rates!$F$16,IF(SUMIF(Grades!$A:$A,$B$2,Grades!$BP:$BP)=1,$C82*Thresholds_Rates!$F$16,"")))))))</f>
        <v/>
      </c>
      <c r="H82" s="81" t="str">
        <f ca="1">IF(B82="","",IF(SUMIF(Grades!$A:$A,$B$2,Grades!$BQ:$BQ)=0,"-",IF(AND($B$2="Salary Points 1 to 57",B82&gt;Thresholds_Rates!$C$17),"-",IF(AND($B$2="Salary Points 1 to 57",B82&lt;=Thresholds_Rates!$C$17),$C82*Thresholds_Rates!$F$17,IF(AND(OR($B$2="New Consultant Contract"),$B82&lt;&gt;""),$C82*Thresholds_Rates!$F$17,IF(AND(OR($B$2="Clinical Lecturer / Medical Research Fellow",$B$2="Clinical Consultant - Old Contract (GP)"),$B82&lt;&gt;""),$C82*Thresholds_Rates!$F$17,IF(AND(OR($B$2="APM Level 7",$B$2="R&amp;T Level 7"),G82&lt;&gt;""),$C82*Thresholds_Rates!$F$17,IF(SUMIF(Grades!$A:$A,$B$2,Grades!$BQ:$BQ)=1,$C82*Thresholds_Rates!$F$17,""))))))))</f>
        <v/>
      </c>
      <c r="I82" s="81" t="str">
        <f ca="1">IF($B82="","",ROUND(($C82-(Thresholds_Rates!$C$5*12))*Thresholds_Rates!$C$10,0))</f>
        <v/>
      </c>
      <c r="J82" s="81" t="str">
        <f ca="1">IF(B82="","",(C82*Thresholds_Rates!$C$12))</f>
        <v/>
      </c>
      <c r="K82" s="81" t="str">
        <f ca="1">IF(B82="","",IF(AND($B$2="Salary Points 1 to 57",B82&gt;Thresholds_Rates!$C$17),"-",IF(SUMIF(Grades!$A:$A,$B$2,Grades!$BR:$BR)=0,"-",IF(AND($B$2="Salary Points 1 to 57",B82&lt;=Thresholds_Rates!$C$17),$C82*Thresholds_Rates!$F$18,IF(AND(OR($B$2="New Consultant Contract"),$B82&lt;&gt;""),$C82*Thresholds_Rates!$F$18,IF(AND(OR($B$2="Clinical Lecturer / Medical Research Fellow",$B$2="Clinical Consultant - Old Contract (GP)"),$B82&lt;&gt;""),$C82*Thresholds_Rates!$F$18,IF(AND(OR($B$2="APM Level 7",$B$2="R&amp;T Level 7"),I82&lt;&gt;""),$C82*Thresholds_Rates!$F$18,IF(SUMIF(Grades!$A:$A,$B$2,Grades!$BQ:$BQ)=1,$C82*Thresholds_Rates!$F$18,""))))))))</f>
        <v/>
      </c>
      <c r="L82" s="68"/>
      <c r="M82" s="81" t="str">
        <f t="shared" ca="1" si="6"/>
        <v/>
      </c>
      <c r="N82" s="81" t="str">
        <f t="shared" ca="1" si="7"/>
        <v/>
      </c>
      <c r="O82" s="81" t="str">
        <f t="shared" ca="1" si="8"/>
        <v/>
      </c>
      <c r="P82" s="81" t="str">
        <f t="shared" ca="1" si="9"/>
        <v/>
      </c>
      <c r="Q82" s="81" t="str">
        <f t="shared" ca="1" si="10"/>
        <v/>
      </c>
      <c r="S82" s="83" t="str">
        <f ca="1">IF(B82="","",IF($B$2="R&amp;T Level 5 - Clinical Lecturers (Vet School)",SUMIF('Points Lookup'!$V:$V,$B82,'Points Lookup'!$W:$W),IF($B$2="R&amp;T Level 6 - Clinical Associate Professors and Clinical Readers (Vet School)",SUMIF('Points Lookup'!$AC:$AC,$B82,'Points Lookup'!$AD:$AD),"")))</f>
        <v/>
      </c>
      <c r="T82" s="84" t="str">
        <f ca="1">IF(B82="","",IF($B$2="R&amp;T Level 5 - Clinical Lecturers (Vet School)",$C82-SUMIF('Points Lookup'!$V:$V,$B82,'Points Lookup'!$X:$X),IF($B$2="R&amp;T Level 6 - Clinical Associate Professors and Clinical Readers (Vet School)",$C82-SUMIF('Points Lookup'!$AC:$AC,$B82,'Points Lookup'!$AE:$AE),"")))</f>
        <v/>
      </c>
      <c r="U82" s="83" t="str">
        <f ca="1">IF(B82="","",IF($B$2="R&amp;T Level 5 - Clinical Lecturers (Vet School)",SUMIF('Points Lookup'!$V:$V,$B82,'Points Lookup'!$Z:$Z),IF($B$2="R&amp;T Level 6 - Clinical Associate Professors and Clinical Readers (Vet School)",SUMIF('Points Lookup'!$AC:$AC,$B82,'Points Lookup'!$AG:$AG),"")))</f>
        <v/>
      </c>
      <c r="V82" s="84" t="str">
        <f t="shared" ca="1" si="11"/>
        <v/>
      </c>
    </row>
    <row r="83" spans="2:22" x14ac:dyDescent="0.25">
      <c r="B83" s="68" t="str">
        <f ca="1">IFERROR(INDEX('Points Lookup'!$A:$A,MATCH($AA85,'Points Lookup'!$AN:$AN,0)),"")</f>
        <v/>
      </c>
      <c r="C83" s="81" t="str">
        <f ca="1">IF(B83="","",IF($B$2="Apprenticeship",SUMIF('Points Lookup'!$AJ:$AJ,B83,'Points Lookup'!$AL:$AL),IF(AND(OR($B$2="New Consultant Contract"),$B83&lt;&gt;""),INDEX('Points Lookup'!$T:$T,MATCH($B83,'Points Lookup'!$S:$S,0)),IF(AND(OR($B$2="Clinical Lecturer / Medical Research Fellow",$B$2="Clinical Consultant - Old Contract (GP)"),$B83&lt;&gt;""),INDEX('Points Lookup'!$Q:$Q,MATCH($B83,'Points Lookup'!$P:$P,0)),IF(AND(OR($B$2="APM Level 7",$B$2="R&amp;T Level 7",$B$2="APM Level 8",$B$2="Technical Services Level 7"),B83&lt;&gt;""),INDEX('Points Lookup'!$H:$H,MATCH($AA83,'Points Lookup'!$AN:$AN,0)),IF($B$2="R&amp;T Level 5 - Clinical Lecturers (Vet School)",SUMIF('Points Lookup'!$V:$V,$B83,'Points Lookup'!$Y:$Y),IF($B$2="R&amp;T Level 6 - Clinical Associate Professors and Clinical Readers (Vet School)",SUMIF('Points Lookup'!$AC:$AC,$B83,'Points Lookup'!$AF:$AF),IFERROR(INDEX('Points Lookup'!$B:$B,MATCH($AA83,'Points Lookup'!$AN:$AN,0)),""))))))))</f>
        <v/>
      </c>
      <c r="D83" s="81"/>
      <c r="E83" s="81"/>
      <c r="F83" s="81" t="str">
        <f ca="1">IF($B83="","",IF(AND($B$2="Salary Points 3 to 57",B83&lt;Thresholds_Rates!$C$16),"-",IF(SUMIF(Grades!$A:$A,$B$2,Grades!$BO:$BO)=0,"-",IF(AND($B$2="Salary Points 3 to 57",B83&gt;=Thresholds_Rates!$C$16),$C83*Thresholds_Rates!$F$15,IF(AND(OR($B$2="New Consultant Contract"),$B83&lt;&gt;""),$C83*Thresholds_Rates!$F$15,IF(AND(OR($B$2="Clinical Lecturer / Medical Research Fellow",$B$2="Clinical Consultant - Old Contract (GP)"),$B83&lt;&gt;""),$C83*Thresholds_Rates!$F$15,IF(OR($B$2="APM Level 7",$B$2="R&amp;T Level 7"),$C83*Thresholds_Rates!$F$15,IF(SUMIF(Grades!$A:$A,$B$2,Grades!$BO:$BO)=1,$C83*Thresholds_Rates!$F$15,""))))))))</f>
        <v/>
      </c>
      <c r="G83" s="81" t="str">
        <f ca="1">IF(B83="","",IF($B$2="Salary Points 1 to 57","-",IF(SUMIF(Grades!$A:$A,$B$2,Grades!$BP:$BP)=0,"-",IF(AND(OR($B$2="New Consultant Contract"),$B83&lt;&gt;""),$C83*Thresholds_Rates!$F$16,IF(AND(OR($B$2="Clinical Lecturer / Medical Research Fellow",$B$2="Clinical Consultant - Old Contract (GP)"),$B83&lt;&gt;""),$C83*Thresholds_Rates!$F$16,IF(AND(OR($B$2="APM Level 7",$B$2="R&amp;T Level 7"),F83&lt;&gt;""),$C83*Thresholds_Rates!$F$16,IF(SUMIF(Grades!$A:$A,$B$2,Grades!$BP:$BP)=1,$C83*Thresholds_Rates!$F$16,"")))))))</f>
        <v/>
      </c>
      <c r="H83" s="81" t="str">
        <f ca="1">IF(B83="","",IF(SUMIF(Grades!$A:$A,$B$2,Grades!$BQ:$BQ)=0,"-",IF(AND($B$2="Salary Points 1 to 57",B83&gt;Thresholds_Rates!$C$17),"-",IF(AND($B$2="Salary Points 1 to 57",B83&lt;=Thresholds_Rates!$C$17),$C83*Thresholds_Rates!$F$17,IF(AND(OR($B$2="New Consultant Contract"),$B83&lt;&gt;""),$C83*Thresholds_Rates!$F$17,IF(AND(OR($B$2="Clinical Lecturer / Medical Research Fellow",$B$2="Clinical Consultant - Old Contract (GP)"),$B83&lt;&gt;""),$C83*Thresholds_Rates!$F$17,IF(AND(OR($B$2="APM Level 7",$B$2="R&amp;T Level 7"),G83&lt;&gt;""),$C83*Thresholds_Rates!$F$17,IF(SUMIF(Grades!$A:$A,$B$2,Grades!$BQ:$BQ)=1,$C83*Thresholds_Rates!$F$17,""))))))))</f>
        <v/>
      </c>
      <c r="I83" s="81" t="str">
        <f ca="1">IF($B83="","",ROUND(($C83-(Thresholds_Rates!$C$5*12))*Thresholds_Rates!$C$10,0))</f>
        <v/>
      </c>
      <c r="J83" s="81" t="str">
        <f ca="1">IF(B83="","",(C83*Thresholds_Rates!$C$12))</f>
        <v/>
      </c>
      <c r="K83" s="81" t="str">
        <f ca="1">IF(B83="","",IF(AND($B$2="Salary Points 1 to 57",B83&gt;Thresholds_Rates!$C$17),"-",IF(SUMIF(Grades!$A:$A,$B$2,Grades!$BR:$BR)=0,"-",IF(AND($B$2="Salary Points 1 to 57",B83&lt;=Thresholds_Rates!$C$17),$C83*Thresholds_Rates!$F$18,IF(AND(OR($B$2="New Consultant Contract"),$B83&lt;&gt;""),$C83*Thresholds_Rates!$F$18,IF(AND(OR($B$2="Clinical Lecturer / Medical Research Fellow",$B$2="Clinical Consultant - Old Contract (GP)"),$B83&lt;&gt;""),$C83*Thresholds_Rates!$F$18,IF(AND(OR($B$2="APM Level 7",$B$2="R&amp;T Level 7"),I83&lt;&gt;""),$C83*Thresholds_Rates!$F$18,IF(SUMIF(Grades!$A:$A,$B$2,Grades!$BQ:$BQ)=1,$C83*Thresholds_Rates!$F$18,""))))))))</f>
        <v/>
      </c>
      <c r="L83" s="68"/>
      <c r="M83" s="81" t="str">
        <f t="shared" ca="1" si="6"/>
        <v/>
      </c>
      <c r="N83" s="81" t="str">
        <f t="shared" ca="1" si="7"/>
        <v/>
      </c>
      <c r="O83" s="81" t="str">
        <f t="shared" ca="1" si="8"/>
        <v/>
      </c>
      <c r="P83" s="81" t="str">
        <f t="shared" ca="1" si="9"/>
        <v/>
      </c>
      <c r="Q83" s="81" t="str">
        <f t="shared" ca="1" si="10"/>
        <v/>
      </c>
      <c r="S83" s="83" t="str">
        <f ca="1">IF(B83="","",IF($B$2="R&amp;T Level 5 - Clinical Lecturers (Vet School)",SUMIF('Points Lookup'!$V:$V,$B83,'Points Lookup'!$W:$W),IF($B$2="R&amp;T Level 6 - Clinical Associate Professors and Clinical Readers (Vet School)",SUMIF('Points Lookup'!$AC:$AC,$B83,'Points Lookup'!$AD:$AD),"")))</f>
        <v/>
      </c>
      <c r="T83" s="84" t="str">
        <f ca="1">IF(B83="","",IF($B$2="R&amp;T Level 5 - Clinical Lecturers (Vet School)",$C83-SUMIF('Points Lookup'!$V:$V,$B83,'Points Lookup'!$X:$X),IF($B$2="R&amp;T Level 6 - Clinical Associate Professors and Clinical Readers (Vet School)",$C83-SUMIF('Points Lookup'!$AC:$AC,$B83,'Points Lookup'!$AE:$AE),"")))</f>
        <v/>
      </c>
      <c r="U83" s="83" t="str">
        <f ca="1">IF(B83="","",IF($B$2="R&amp;T Level 5 - Clinical Lecturers (Vet School)",SUMIF('Points Lookup'!$V:$V,$B83,'Points Lookup'!$Z:$Z),IF($B$2="R&amp;T Level 6 - Clinical Associate Professors and Clinical Readers (Vet School)",SUMIF('Points Lookup'!$AC:$AC,$B83,'Points Lookup'!$AG:$AG),"")))</f>
        <v/>
      </c>
      <c r="V83" s="84" t="str">
        <f t="shared" ca="1" si="11"/>
        <v/>
      </c>
    </row>
    <row r="84" spans="2:22" x14ac:dyDescent="0.25">
      <c r="B84" s="68" t="str">
        <f ca="1">IFERROR(INDEX('Points Lookup'!$A:$A,MATCH($AA86,'Points Lookup'!$AN:$AN,0)),"")</f>
        <v/>
      </c>
      <c r="C84" s="81" t="str">
        <f ca="1">IF(B84="","",IF($B$2="Apprenticeship",SUMIF('Points Lookup'!$AJ:$AJ,B84,'Points Lookup'!$AL:$AL),IF(AND(OR($B$2="New Consultant Contract"),$B84&lt;&gt;""),INDEX('Points Lookup'!$T:$T,MATCH($B84,'Points Lookup'!$S:$S,0)),IF(AND(OR($B$2="Clinical Lecturer / Medical Research Fellow",$B$2="Clinical Consultant - Old Contract (GP)"),$B84&lt;&gt;""),INDEX('Points Lookup'!$Q:$Q,MATCH($B84,'Points Lookup'!$P:$P,0)),IF(AND(OR($B$2="APM Level 7",$B$2="R&amp;T Level 7",$B$2="APM Level 8",$B$2="Technical Services Level 7"),B84&lt;&gt;""),INDEX('Points Lookup'!$H:$H,MATCH($AA84,'Points Lookup'!$AN:$AN,0)),IF($B$2="R&amp;T Level 5 - Clinical Lecturers (Vet School)",SUMIF('Points Lookup'!$V:$V,$B84,'Points Lookup'!$Y:$Y),IF($B$2="R&amp;T Level 6 - Clinical Associate Professors and Clinical Readers (Vet School)",SUMIF('Points Lookup'!$AC:$AC,$B84,'Points Lookup'!$AF:$AF),IFERROR(INDEX('Points Lookup'!$B:$B,MATCH($AA84,'Points Lookup'!$AN:$AN,0)),""))))))))</f>
        <v/>
      </c>
      <c r="D84" s="81"/>
      <c r="E84" s="81"/>
      <c r="F84" s="81" t="str">
        <f ca="1">IF($B84="","",IF(AND($B$2="Salary Points 3 to 57",B84&lt;Thresholds_Rates!$C$16),"-",IF(SUMIF(Grades!$A:$A,$B$2,Grades!$BO:$BO)=0,"-",IF(AND($B$2="Salary Points 3 to 57",B84&gt;=Thresholds_Rates!$C$16),$C84*Thresholds_Rates!$F$15,IF(AND(OR($B$2="New Consultant Contract"),$B84&lt;&gt;""),$C84*Thresholds_Rates!$F$15,IF(AND(OR($B$2="Clinical Lecturer / Medical Research Fellow",$B$2="Clinical Consultant - Old Contract (GP)"),$B84&lt;&gt;""),$C84*Thresholds_Rates!$F$15,IF(OR($B$2="APM Level 7",$B$2="R&amp;T Level 7"),$C84*Thresholds_Rates!$F$15,IF(SUMIF(Grades!$A:$A,$B$2,Grades!$BO:$BO)=1,$C84*Thresholds_Rates!$F$15,""))))))))</f>
        <v/>
      </c>
      <c r="G84" s="81" t="str">
        <f ca="1">IF(B84="","",IF($B$2="Salary Points 1 to 57","-",IF(SUMIF(Grades!$A:$A,$B$2,Grades!$BP:$BP)=0,"-",IF(AND(OR($B$2="New Consultant Contract"),$B84&lt;&gt;""),$C84*Thresholds_Rates!$F$16,IF(AND(OR($B$2="Clinical Lecturer / Medical Research Fellow",$B$2="Clinical Consultant - Old Contract (GP)"),$B84&lt;&gt;""),$C84*Thresholds_Rates!$F$16,IF(AND(OR($B$2="APM Level 7",$B$2="R&amp;T Level 7"),F84&lt;&gt;""),$C84*Thresholds_Rates!$F$16,IF(SUMIF(Grades!$A:$A,$B$2,Grades!$BP:$BP)=1,$C84*Thresholds_Rates!$F$16,"")))))))</f>
        <v/>
      </c>
      <c r="H84" s="81" t="str">
        <f ca="1">IF(B84="","",IF(SUMIF(Grades!$A:$A,$B$2,Grades!$BQ:$BQ)=0,"-",IF(AND($B$2="Salary Points 1 to 57",B84&gt;Thresholds_Rates!$C$17),"-",IF(AND($B$2="Salary Points 1 to 57",B84&lt;=Thresholds_Rates!$C$17),$C84*Thresholds_Rates!$F$17,IF(AND(OR($B$2="New Consultant Contract"),$B84&lt;&gt;""),$C84*Thresholds_Rates!$F$17,IF(AND(OR($B$2="Clinical Lecturer / Medical Research Fellow",$B$2="Clinical Consultant - Old Contract (GP)"),$B84&lt;&gt;""),$C84*Thresholds_Rates!$F$17,IF(AND(OR($B$2="APM Level 7",$B$2="R&amp;T Level 7"),G84&lt;&gt;""),$C84*Thresholds_Rates!$F$17,IF(SUMIF(Grades!$A:$A,$B$2,Grades!$BQ:$BQ)=1,$C84*Thresholds_Rates!$F$17,""))))))))</f>
        <v/>
      </c>
      <c r="I84" s="81" t="str">
        <f ca="1">IF($B84="","",ROUND(($C84-(Thresholds_Rates!$C$5*12))*Thresholds_Rates!$C$10,0))</f>
        <v/>
      </c>
      <c r="J84" s="81" t="str">
        <f ca="1">IF(B84="","",(C84*Thresholds_Rates!$C$12))</f>
        <v/>
      </c>
      <c r="K84" s="81" t="str">
        <f ca="1">IF(B84="","",IF(AND($B$2="Salary Points 1 to 57",B84&gt;Thresholds_Rates!$C$17),"-",IF(SUMIF(Grades!$A:$A,$B$2,Grades!$BR:$BR)=0,"-",IF(AND($B$2="Salary Points 1 to 57",B84&lt;=Thresholds_Rates!$C$17),$C84*Thresholds_Rates!$F$18,IF(AND(OR($B$2="New Consultant Contract"),$B84&lt;&gt;""),$C84*Thresholds_Rates!$F$18,IF(AND(OR($B$2="Clinical Lecturer / Medical Research Fellow",$B$2="Clinical Consultant - Old Contract (GP)"),$B84&lt;&gt;""),$C84*Thresholds_Rates!$F$18,IF(AND(OR($B$2="APM Level 7",$B$2="R&amp;T Level 7"),I84&lt;&gt;""),$C84*Thresholds_Rates!$F$18,IF(SUMIF(Grades!$A:$A,$B$2,Grades!$BQ:$BQ)=1,$C84*Thresholds_Rates!$F$18,""))))))))</f>
        <v/>
      </c>
      <c r="L84" s="68"/>
      <c r="M84" s="81" t="str">
        <f t="shared" ca="1" si="6"/>
        <v/>
      </c>
      <c r="N84" s="81" t="str">
        <f t="shared" ca="1" si="7"/>
        <v/>
      </c>
      <c r="O84" s="81" t="str">
        <f t="shared" ca="1" si="8"/>
        <v/>
      </c>
      <c r="P84" s="81" t="str">
        <f t="shared" ca="1" si="9"/>
        <v/>
      </c>
      <c r="Q84" s="81" t="str">
        <f t="shared" ca="1" si="10"/>
        <v/>
      </c>
      <c r="S84" s="83" t="str">
        <f ca="1">IF(B84="","",IF($B$2="R&amp;T Level 5 - Clinical Lecturers (Vet School)",SUMIF('Points Lookup'!$V:$V,$B84,'Points Lookup'!$W:$W),IF($B$2="R&amp;T Level 6 - Clinical Associate Professors and Clinical Readers (Vet School)",SUMIF('Points Lookup'!$AC:$AC,$B84,'Points Lookup'!$AD:$AD),"")))</f>
        <v/>
      </c>
      <c r="T84" s="84" t="str">
        <f ca="1">IF(B84="","",IF($B$2="R&amp;T Level 5 - Clinical Lecturers (Vet School)",$C84-SUMIF('Points Lookup'!$V:$V,$B84,'Points Lookup'!$X:$X),IF($B$2="R&amp;T Level 6 - Clinical Associate Professors and Clinical Readers (Vet School)",$C84-SUMIF('Points Lookup'!$AC:$AC,$B84,'Points Lookup'!$AE:$AE),"")))</f>
        <v/>
      </c>
      <c r="U84" s="83" t="str">
        <f ca="1">IF(B84="","",IF($B$2="R&amp;T Level 5 - Clinical Lecturers (Vet School)",SUMIF('Points Lookup'!$V:$V,$B84,'Points Lookup'!$Z:$Z),IF($B$2="R&amp;T Level 6 - Clinical Associate Professors and Clinical Readers (Vet School)",SUMIF('Points Lookup'!$AC:$AC,$B84,'Points Lookup'!$AG:$AG),"")))</f>
        <v/>
      </c>
      <c r="V84" s="84" t="str">
        <f t="shared" ca="1" si="11"/>
        <v/>
      </c>
    </row>
    <row r="85" spans="2:22" x14ac:dyDescent="0.25">
      <c r="B85" s="68" t="str">
        <f ca="1">IFERROR(INDEX('Points Lookup'!$A:$A,MATCH($AA87,'Points Lookup'!$AN:$AN,0)),"")</f>
        <v/>
      </c>
      <c r="C85" s="81" t="str">
        <f ca="1">IF(B85="","",IF($B$2="Apprenticeship",SUMIF('Points Lookup'!$AJ:$AJ,B85,'Points Lookup'!$AL:$AL),IF(AND(OR($B$2="New Consultant Contract"),$B85&lt;&gt;""),INDEX('Points Lookup'!$T:$T,MATCH($B85,'Points Lookup'!$S:$S,0)),IF(AND(OR($B$2="Clinical Lecturer / Medical Research Fellow",$B$2="Clinical Consultant - Old Contract (GP)"),$B85&lt;&gt;""),INDEX('Points Lookup'!$Q:$Q,MATCH($B85,'Points Lookup'!$P:$P,0)),IF(AND(OR($B$2="APM Level 7",$B$2="R&amp;T Level 7",$B$2="APM Level 8",$B$2="Technical Services Level 7"),B85&lt;&gt;""),INDEX('Points Lookup'!$H:$H,MATCH($AA85,'Points Lookup'!$AN:$AN,0)),IF($B$2="R&amp;T Level 5 - Clinical Lecturers (Vet School)",SUMIF('Points Lookup'!$V:$V,$B85,'Points Lookup'!$Y:$Y),IF($B$2="R&amp;T Level 6 - Clinical Associate Professors and Clinical Readers (Vet School)",SUMIF('Points Lookup'!$AC:$AC,$B85,'Points Lookup'!$AF:$AF),IFERROR(INDEX('Points Lookup'!$B:$B,MATCH($AA85,'Points Lookup'!$AN:$AN,0)),""))))))))</f>
        <v/>
      </c>
      <c r="D85" s="81"/>
      <c r="E85" s="81"/>
      <c r="F85" s="81" t="str">
        <f ca="1">IF($B85="","",IF(AND($B$2="Salary Points 3 to 57",B85&lt;Thresholds_Rates!$C$16),"-",IF(SUMIF(Grades!$A:$A,$B$2,Grades!$BO:$BO)=0,"-",IF(AND($B$2="Salary Points 3 to 57",B85&gt;=Thresholds_Rates!$C$16),$C85*Thresholds_Rates!$F$15,IF(AND(OR($B$2="New Consultant Contract"),$B85&lt;&gt;""),$C85*Thresholds_Rates!$F$15,IF(AND(OR($B$2="Clinical Lecturer / Medical Research Fellow",$B$2="Clinical Consultant - Old Contract (GP)"),$B85&lt;&gt;""),$C85*Thresholds_Rates!$F$15,IF(OR($B$2="APM Level 7",$B$2="R&amp;T Level 7"),$C85*Thresholds_Rates!$F$15,IF(SUMIF(Grades!$A:$A,$B$2,Grades!$BO:$BO)=1,$C85*Thresholds_Rates!$F$15,""))))))))</f>
        <v/>
      </c>
      <c r="G85" s="81" t="str">
        <f ca="1">IF(B85="","",IF($B$2="Salary Points 1 to 57","-",IF(SUMIF(Grades!$A:$A,$B$2,Grades!$BP:$BP)=0,"-",IF(AND(OR($B$2="New Consultant Contract"),$B85&lt;&gt;""),$C85*Thresholds_Rates!$F$16,IF(AND(OR($B$2="Clinical Lecturer / Medical Research Fellow",$B$2="Clinical Consultant - Old Contract (GP)"),$B85&lt;&gt;""),$C85*Thresholds_Rates!$F$16,IF(AND(OR($B$2="APM Level 7",$B$2="R&amp;T Level 7"),F85&lt;&gt;""),$C85*Thresholds_Rates!$F$16,IF(SUMIF(Grades!$A:$A,$B$2,Grades!$BP:$BP)=1,$C85*Thresholds_Rates!$F$16,"")))))))</f>
        <v/>
      </c>
      <c r="H85" s="81" t="str">
        <f ca="1">IF(B85="","",IF(SUMIF(Grades!$A:$A,$B$2,Grades!$BQ:$BQ)=0,"-",IF(AND($B$2="Salary Points 1 to 57",B85&gt;Thresholds_Rates!$C$17),"-",IF(AND($B$2="Salary Points 1 to 57",B85&lt;=Thresholds_Rates!$C$17),$C85*Thresholds_Rates!$F$17,IF(AND(OR($B$2="New Consultant Contract"),$B85&lt;&gt;""),$C85*Thresholds_Rates!$F$17,IF(AND(OR($B$2="Clinical Lecturer / Medical Research Fellow",$B$2="Clinical Consultant - Old Contract (GP)"),$B85&lt;&gt;""),$C85*Thresholds_Rates!$F$17,IF(AND(OR($B$2="APM Level 7",$B$2="R&amp;T Level 7"),G85&lt;&gt;""),$C85*Thresholds_Rates!$F$17,IF(SUMIF(Grades!$A:$A,$B$2,Grades!$BQ:$BQ)=1,$C85*Thresholds_Rates!$F$17,""))))))))</f>
        <v/>
      </c>
      <c r="I85" s="81" t="str">
        <f ca="1">IF($B85="","",ROUND(($C85-(Thresholds_Rates!$C$5*12))*Thresholds_Rates!$C$10,0))</f>
        <v/>
      </c>
      <c r="J85" s="81" t="str">
        <f ca="1">IF(B85="","",(C85*Thresholds_Rates!$C$12))</f>
        <v/>
      </c>
      <c r="K85" s="81" t="str">
        <f ca="1">IF(B85="","",IF(AND($B$2="Salary Points 1 to 57",B85&gt;Thresholds_Rates!$C$17),"-",IF(SUMIF(Grades!$A:$A,$B$2,Grades!$BR:$BR)=0,"-",IF(AND($B$2="Salary Points 1 to 57",B85&lt;=Thresholds_Rates!$C$17),$C85*Thresholds_Rates!$F$18,IF(AND(OR($B$2="New Consultant Contract"),$B85&lt;&gt;""),$C85*Thresholds_Rates!$F$18,IF(AND(OR($B$2="Clinical Lecturer / Medical Research Fellow",$B$2="Clinical Consultant - Old Contract (GP)"),$B85&lt;&gt;""),$C85*Thresholds_Rates!$F$18,IF(AND(OR($B$2="APM Level 7",$B$2="R&amp;T Level 7"),I85&lt;&gt;""),$C85*Thresholds_Rates!$F$18,IF(SUMIF(Grades!$A:$A,$B$2,Grades!$BQ:$BQ)=1,$C85*Thresholds_Rates!$F$18,""))))))))</f>
        <v/>
      </c>
      <c r="L85" s="68"/>
      <c r="M85" s="81" t="str">
        <f t="shared" ca="1" si="6"/>
        <v/>
      </c>
      <c r="N85" s="81" t="str">
        <f t="shared" ca="1" si="7"/>
        <v/>
      </c>
      <c r="O85" s="81" t="str">
        <f t="shared" ca="1" si="8"/>
        <v/>
      </c>
      <c r="P85" s="81" t="str">
        <f t="shared" ca="1" si="9"/>
        <v/>
      </c>
      <c r="Q85" s="81" t="str">
        <f t="shared" ca="1" si="10"/>
        <v/>
      </c>
      <c r="S85" s="83" t="str">
        <f ca="1">IF(B85="","",IF($B$2="R&amp;T Level 5 - Clinical Lecturers (Vet School)",SUMIF('Points Lookup'!$V:$V,$B85,'Points Lookup'!$W:$W),IF($B$2="R&amp;T Level 6 - Clinical Associate Professors and Clinical Readers (Vet School)",SUMIF('Points Lookup'!$AC:$AC,$B85,'Points Lookup'!$AD:$AD),"")))</f>
        <v/>
      </c>
      <c r="T85" s="84" t="str">
        <f ca="1">IF(B85="","",IF($B$2="R&amp;T Level 5 - Clinical Lecturers (Vet School)",$C85-SUMIF('Points Lookup'!$V:$V,$B85,'Points Lookup'!$X:$X),IF($B$2="R&amp;T Level 6 - Clinical Associate Professors and Clinical Readers (Vet School)",$C85-SUMIF('Points Lookup'!$AC:$AC,$B85,'Points Lookup'!$AE:$AE),"")))</f>
        <v/>
      </c>
      <c r="U85" s="83" t="str">
        <f ca="1">IF(B85="","",IF($B$2="R&amp;T Level 5 - Clinical Lecturers (Vet School)",SUMIF('Points Lookup'!$V:$V,$B85,'Points Lookup'!$Z:$Z),IF($B$2="R&amp;T Level 6 - Clinical Associate Professors and Clinical Readers (Vet School)",SUMIF('Points Lookup'!$AC:$AC,$B85,'Points Lookup'!$AG:$AG),"")))</f>
        <v/>
      </c>
      <c r="V85" s="84" t="str">
        <f t="shared" ca="1" si="11"/>
        <v/>
      </c>
    </row>
    <row r="86" spans="2:22" x14ac:dyDescent="0.25">
      <c r="B86" s="68" t="str">
        <f ca="1">IFERROR(INDEX('Points Lookup'!$A:$A,MATCH($AA88,'Points Lookup'!$AN:$AN,0)),"")</f>
        <v/>
      </c>
      <c r="C86" s="81" t="str">
        <f ca="1">IF(B86="","",IF($B$2="Apprenticeship",SUMIF('Points Lookup'!$AJ:$AJ,B86,'Points Lookup'!$AL:$AL),IF(AND(OR($B$2="New Consultant Contract"),$B86&lt;&gt;""),INDEX('Points Lookup'!$T:$T,MATCH($B86,'Points Lookup'!$S:$S,0)),IF(AND(OR($B$2="Clinical Lecturer / Medical Research Fellow",$B$2="Clinical Consultant - Old Contract (GP)"),$B86&lt;&gt;""),INDEX('Points Lookup'!$Q:$Q,MATCH($B86,'Points Lookup'!$P:$P,0)),IF(AND(OR($B$2="APM Level 7",$B$2="R&amp;T Level 7",$B$2="APM Level 8",$B$2="Technical Services Level 7"),B86&lt;&gt;""),INDEX('Points Lookup'!$H:$H,MATCH($AA86,'Points Lookup'!$AN:$AN,0)),IF($B$2="R&amp;T Level 5 - Clinical Lecturers (Vet School)",SUMIF('Points Lookup'!$V:$V,$B86,'Points Lookup'!$Y:$Y),IF($B$2="R&amp;T Level 6 - Clinical Associate Professors and Clinical Readers (Vet School)",SUMIF('Points Lookup'!$AC:$AC,$B86,'Points Lookup'!$AF:$AF),IFERROR(INDEX('Points Lookup'!$B:$B,MATCH($AA86,'Points Lookup'!$AN:$AN,0)),""))))))))</f>
        <v/>
      </c>
      <c r="D86" s="81"/>
      <c r="E86" s="81"/>
      <c r="F86" s="81" t="str">
        <f ca="1">IF($B86="","",IF(AND($B$2="Salary Points 3 to 57",B86&lt;Thresholds_Rates!$C$16),"-",IF(SUMIF(Grades!$A:$A,$B$2,Grades!$BO:$BO)=0,"-",IF(AND($B$2="Salary Points 3 to 57",B86&gt;=Thresholds_Rates!$C$16),$C86*Thresholds_Rates!$F$15,IF(AND(OR($B$2="New Consultant Contract"),$B86&lt;&gt;""),$C86*Thresholds_Rates!$F$15,IF(AND(OR($B$2="Clinical Lecturer / Medical Research Fellow",$B$2="Clinical Consultant - Old Contract (GP)"),$B86&lt;&gt;""),$C86*Thresholds_Rates!$F$15,IF(OR($B$2="APM Level 7",$B$2="R&amp;T Level 7"),$C86*Thresholds_Rates!$F$15,IF(SUMIF(Grades!$A:$A,$B$2,Grades!$BO:$BO)=1,$C86*Thresholds_Rates!$F$15,""))))))))</f>
        <v/>
      </c>
      <c r="G86" s="81" t="str">
        <f ca="1">IF(B86="","",IF($B$2="Salary Points 1 to 57","-",IF(SUMIF(Grades!$A:$A,$B$2,Grades!$BP:$BP)=0,"-",IF(AND(OR($B$2="New Consultant Contract"),$B86&lt;&gt;""),$C86*Thresholds_Rates!$F$16,IF(AND(OR($B$2="Clinical Lecturer / Medical Research Fellow",$B$2="Clinical Consultant - Old Contract (GP)"),$B86&lt;&gt;""),$C86*Thresholds_Rates!$F$16,IF(AND(OR($B$2="APM Level 7",$B$2="R&amp;T Level 7"),F86&lt;&gt;""),$C86*Thresholds_Rates!$F$16,IF(SUMIF(Grades!$A:$A,$B$2,Grades!$BP:$BP)=1,$C86*Thresholds_Rates!$F$16,"")))))))</f>
        <v/>
      </c>
      <c r="H86" s="81" t="str">
        <f ca="1">IF(B86="","",IF(SUMIF(Grades!$A:$A,$B$2,Grades!$BQ:$BQ)=0,"-",IF(AND($B$2="Salary Points 1 to 57",B86&gt;Thresholds_Rates!$C$17),"-",IF(AND($B$2="Salary Points 1 to 57",B86&lt;=Thresholds_Rates!$C$17),$C86*Thresholds_Rates!$F$17,IF(AND(OR($B$2="New Consultant Contract"),$B86&lt;&gt;""),$C86*Thresholds_Rates!$F$17,IF(AND(OR($B$2="Clinical Lecturer / Medical Research Fellow",$B$2="Clinical Consultant - Old Contract (GP)"),$B86&lt;&gt;""),$C86*Thresholds_Rates!$F$17,IF(AND(OR($B$2="APM Level 7",$B$2="R&amp;T Level 7"),G86&lt;&gt;""),$C86*Thresholds_Rates!$F$17,IF(SUMIF(Grades!$A:$A,$B$2,Grades!$BQ:$BQ)=1,$C86*Thresholds_Rates!$F$17,""))))))))</f>
        <v/>
      </c>
      <c r="I86" s="81" t="str">
        <f ca="1">IF($B86="","",ROUND(($C86-(Thresholds_Rates!$C$5*12))*Thresholds_Rates!$C$10,0))</f>
        <v/>
      </c>
      <c r="J86" s="81" t="str">
        <f ca="1">IF(B86="","",(C86*Thresholds_Rates!$C$12))</f>
        <v/>
      </c>
      <c r="K86" s="81" t="str">
        <f ca="1">IF(B86="","",IF(AND($B$2="Salary Points 1 to 57",B86&gt;Thresholds_Rates!$C$17),"-",IF(SUMIF(Grades!$A:$A,$B$2,Grades!$BR:$BR)=0,"-",IF(AND($B$2="Salary Points 1 to 57",B86&lt;=Thresholds_Rates!$C$17),$C86*Thresholds_Rates!$F$18,IF(AND(OR($B$2="New Consultant Contract"),$B86&lt;&gt;""),$C86*Thresholds_Rates!$F$18,IF(AND(OR($B$2="Clinical Lecturer / Medical Research Fellow",$B$2="Clinical Consultant - Old Contract (GP)"),$B86&lt;&gt;""),$C86*Thresholds_Rates!$F$18,IF(AND(OR($B$2="APM Level 7",$B$2="R&amp;T Level 7"),I86&lt;&gt;""),$C86*Thresholds_Rates!$F$18,IF(SUMIF(Grades!$A:$A,$B$2,Grades!$BQ:$BQ)=1,$C86*Thresholds_Rates!$F$18,""))))))))</f>
        <v/>
      </c>
      <c r="L86" s="68"/>
      <c r="M86" s="81" t="str">
        <f t="shared" ca="1" si="6"/>
        <v/>
      </c>
      <c r="N86" s="81" t="str">
        <f t="shared" ca="1" si="7"/>
        <v/>
      </c>
      <c r="O86" s="81" t="str">
        <f t="shared" ca="1" si="8"/>
        <v/>
      </c>
      <c r="P86" s="81" t="str">
        <f t="shared" ca="1" si="9"/>
        <v/>
      </c>
      <c r="Q86" s="81" t="str">
        <f t="shared" ca="1" si="10"/>
        <v/>
      </c>
      <c r="S86" s="83" t="str">
        <f ca="1">IF(B86="","",IF($B$2="R&amp;T Level 5 - Clinical Lecturers (Vet School)",SUMIF('Points Lookup'!$V:$V,$B86,'Points Lookup'!$W:$W),IF($B$2="R&amp;T Level 6 - Clinical Associate Professors and Clinical Readers (Vet School)",SUMIF('Points Lookup'!$AC:$AC,$B86,'Points Lookup'!$AD:$AD),"")))</f>
        <v/>
      </c>
      <c r="T86" s="84" t="str">
        <f ca="1">IF(B86="","",IF($B$2="R&amp;T Level 5 - Clinical Lecturers (Vet School)",$C86-SUMIF('Points Lookup'!$V:$V,$B86,'Points Lookup'!$X:$X),IF($B$2="R&amp;T Level 6 - Clinical Associate Professors and Clinical Readers (Vet School)",$C86-SUMIF('Points Lookup'!$AC:$AC,$B86,'Points Lookup'!$AE:$AE),"")))</f>
        <v/>
      </c>
      <c r="U86" s="83" t="str">
        <f ca="1">IF(B86="","",IF($B$2="R&amp;T Level 5 - Clinical Lecturers (Vet School)",SUMIF('Points Lookup'!$V:$V,$B86,'Points Lookup'!$Z:$Z),IF($B$2="R&amp;T Level 6 - Clinical Associate Professors and Clinical Readers (Vet School)",SUMIF('Points Lookup'!$AC:$AC,$B86,'Points Lookup'!$AG:$AG),"")))</f>
        <v/>
      </c>
      <c r="V86" s="84" t="str">
        <f t="shared" ca="1" si="11"/>
        <v/>
      </c>
    </row>
    <row r="87" spans="2:22" x14ac:dyDescent="0.25">
      <c r="B87" s="68" t="str">
        <f ca="1">IFERROR(INDEX('Points Lookup'!$A:$A,MATCH($AA89,'Points Lookup'!$AN:$AN,0)),"")</f>
        <v/>
      </c>
      <c r="C87" s="81" t="str">
        <f ca="1">IF(B87="","",IF($B$2="Apprenticeship",SUMIF('Points Lookup'!$AJ:$AJ,B87,'Points Lookup'!$AL:$AL),IF(AND(OR($B$2="New Consultant Contract"),$B87&lt;&gt;""),INDEX('Points Lookup'!$T:$T,MATCH($B87,'Points Lookup'!$S:$S,0)),IF(AND(OR($B$2="Clinical Lecturer / Medical Research Fellow",$B$2="Clinical Consultant - Old Contract (GP)"),$B87&lt;&gt;""),INDEX('Points Lookup'!$Q:$Q,MATCH($B87,'Points Lookup'!$P:$P,0)),IF(AND(OR($B$2="APM Level 7",$B$2="R&amp;T Level 7",$B$2="APM Level 8",$B$2="Technical Services Level 7"),B87&lt;&gt;""),INDEX('Points Lookup'!$H:$H,MATCH($AA87,'Points Lookup'!$AN:$AN,0)),IF($B$2="R&amp;T Level 5 - Clinical Lecturers (Vet School)",SUMIF('Points Lookup'!$V:$V,$B87,'Points Lookup'!$Y:$Y),IF($B$2="R&amp;T Level 6 - Clinical Associate Professors and Clinical Readers (Vet School)",SUMIF('Points Lookup'!$AC:$AC,$B87,'Points Lookup'!$AF:$AF),IFERROR(INDEX('Points Lookup'!$B:$B,MATCH($AA87,'Points Lookup'!$AN:$AN,0)),""))))))))</f>
        <v/>
      </c>
      <c r="D87" s="81"/>
      <c r="E87" s="81"/>
      <c r="F87" s="81" t="str">
        <f ca="1">IF($B87="","",IF(AND($B$2="Salary Points 3 to 57",B87&lt;Thresholds_Rates!$C$16),"-",IF(SUMIF(Grades!$A:$A,$B$2,Grades!$BO:$BO)=0,"-",IF(AND($B$2="Salary Points 3 to 57",B87&gt;=Thresholds_Rates!$C$16),$C87*Thresholds_Rates!$F$15,IF(AND(OR($B$2="New Consultant Contract"),$B87&lt;&gt;""),$C87*Thresholds_Rates!$F$15,IF(AND(OR($B$2="Clinical Lecturer / Medical Research Fellow",$B$2="Clinical Consultant - Old Contract (GP)"),$B87&lt;&gt;""),$C87*Thresholds_Rates!$F$15,IF(OR($B$2="APM Level 7",$B$2="R&amp;T Level 7"),$C87*Thresholds_Rates!$F$15,IF(SUMIF(Grades!$A:$A,$B$2,Grades!$BO:$BO)=1,$C87*Thresholds_Rates!$F$15,""))))))))</f>
        <v/>
      </c>
      <c r="G87" s="81" t="str">
        <f ca="1">IF(B87="","",IF($B$2="Salary Points 1 to 57","-",IF(SUMIF(Grades!$A:$A,$B$2,Grades!$BP:$BP)=0,"-",IF(AND(OR($B$2="New Consultant Contract"),$B87&lt;&gt;""),$C87*Thresholds_Rates!$F$16,IF(AND(OR($B$2="Clinical Lecturer / Medical Research Fellow",$B$2="Clinical Consultant - Old Contract (GP)"),$B87&lt;&gt;""),$C87*Thresholds_Rates!$F$16,IF(AND(OR($B$2="APM Level 7",$B$2="R&amp;T Level 7"),F87&lt;&gt;""),$C87*Thresholds_Rates!$F$16,IF(SUMIF(Grades!$A:$A,$B$2,Grades!$BP:$BP)=1,$C87*Thresholds_Rates!$F$16,"")))))))</f>
        <v/>
      </c>
      <c r="H87" s="81" t="str">
        <f ca="1">IF(B87="","",IF(SUMIF(Grades!$A:$A,$B$2,Grades!$BQ:$BQ)=0,"-",IF(AND($B$2="Salary Points 1 to 57",B87&gt;Thresholds_Rates!$C$17),"-",IF(AND($B$2="Salary Points 1 to 57",B87&lt;=Thresholds_Rates!$C$17),$C87*Thresholds_Rates!$F$17,IF(AND(OR($B$2="New Consultant Contract"),$B87&lt;&gt;""),$C87*Thresholds_Rates!$F$17,IF(AND(OR($B$2="Clinical Lecturer / Medical Research Fellow",$B$2="Clinical Consultant - Old Contract (GP)"),$B87&lt;&gt;""),$C87*Thresholds_Rates!$F$17,IF(AND(OR($B$2="APM Level 7",$B$2="R&amp;T Level 7"),G87&lt;&gt;""),$C87*Thresholds_Rates!$F$17,IF(SUMIF(Grades!$A:$A,$B$2,Grades!$BQ:$BQ)=1,$C87*Thresholds_Rates!$F$17,""))))))))</f>
        <v/>
      </c>
      <c r="I87" s="81" t="str">
        <f ca="1">IF($B87="","",ROUND(($C87-(Thresholds_Rates!$C$5*12))*Thresholds_Rates!$C$10,0))</f>
        <v/>
      </c>
      <c r="J87" s="81" t="str">
        <f ca="1">IF(B87="","",(C87*Thresholds_Rates!$C$12))</f>
        <v/>
      </c>
      <c r="K87" s="81" t="str">
        <f ca="1">IF(B87="","",IF(AND($B$2="Salary Points 1 to 57",B87&gt;Thresholds_Rates!$C$17),"-",IF(SUMIF(Grades!$A:$A,$B$2,Grades!$BR:$BR)=0,"-",IF(AND($B$2="Salary Points 1 to 57",B87&lt;=Thresholds_Rates!$C$17),$C87*Thresholds_Rates!$F$18,IF(AND(OR($B$2="New Consultant Contract"),$B87&lt;&gt;""),$C87*Thresholds_Rates!$F$18,IF(AND(OR($B$2="Clinical Lecturer / Medical Research Fellow",$B$2="Clinical Consultant - Old Contract (GP)"),$B87&lt;&gt;""),$C87*Thresholds_Rates!$F$18,IF(AND(OR($B$2="APM Level 7",$B$2="R&amp;T Level 7"),I87&lt;&gt;""),$C87*Thresholds_Rates!$F$18,IF(SUMIF(Grades!$A:$A,$B$2,Grades!$BQ:$BQ)=1,$C87*Thresholds_Rates!$F$18,""))))))))</f>
        <v/>
      </c>
      <c r="L87" s="68"/>
      <c r="M87" s="81" t="str">
        <f t="shared" ca="1" si="6"/>
        <v/>
      </c>
      <c r="N87" s="81" t="str">
        <f t="shared" ca="1" si="7"/>
        <v/>
      </c>
      <c r="O87" s="81" t="str">
        <f t="shared" ca="1" si="8"/>
        <v/>
      </c>
      <c r="P87" s="81" t="str">
        <f t="shared" ca="1" si="9"/>
        <v/>
      </c>
      <c r="Q87" s="81" t="str">
        <f t="shared" ca="1" si="10"/>
        <v/>
      </c>
      <c r="S87" s="83" t="str">
        <f ca="1">IF(B87="","",IF($B$2="R&amp;T Level 5 - Clinical Lecturers (Vet School)",SUMIF('Points Lookup'!$V:$V,$B87,'Points Lookup'!$W:$W),IF($B$2="R&amp;T Level 6 - Clinical Associate Professors and Clinical Readers (Vet School)",SUMIF('Points Lookup'!$AC:$AC,$B87,'Points Lookup'!$AD:$AD),"")))</f>
        <v/>
      </c>
      <c r="T87" s="84" t="str">
        <f ca="1">IF(B87="","",IF($B$2="R&amp;T Level 5 - Clinical Lecturers (Vet School)",$C87-SUMIF('Points Lookup'!$V:$V,$B87,'Points Lookup'!$X:$X),IF($B$2="R&amp;T Level 6 - Clinical Associate Professors and Clinical Readers (Vet School)",$C87-SUMIF('Points Lookup'!$AC:$AC,$B87,'Points Lookup'!$AE:$AE),"")))</f>
        <v/>
      </c>
      <c r="U87" s="83" t="str">
        <f ca="1">IF(B87="","",IF($B$2="R&amp;T Level 5 - Clinical Lecturers (Vet School)",SUMIF('Points Lookup'!$V:$V,$B87,'Points Lookup'!$Z:$Z),IF($B$2="R&amp;T Level 6 - Clinical Associate Professors and Clinical Readers (Vet School)",SUMIF('Points Lookup'!$AC:$AC,$B87,'Points Lookup'!$AG:$AG),"")))</f>
        <v/>
      </c>
      <c r="V87" s="84" t="str">
        <f t="shared" ca="1" si="11"/>
        <v/>
      </c>
    </row>
    <row r="88" spans="2:22" x14ac:dyDescent="0.25">
      <c r="B88" s="68" t="str">
        <f ca="1">IFERROR(INDEX('Points Lookup'!$A:$A,MATCH($AA90,'Points Lookup'!$AN:$AN,0)),"")</f>
        <v/>
      </c>
      <c r="C88" s="81" t="str">
        <f ca="1">IF(B88="","",IF($B$2="Apprenticeship",SUMIF('Points Lookup'!$AJ:$AJ,B88,'Points Lookup'!$AL:$AL),IF(AND(OR($B$2="New Consultant Contract"),$B88&lt;&gt;""),INDEX('Points Lookup'!$T:$T,MATCH($B88,'Points Lookup'!$S:$S,0)),IF(AND(OR($B$2="Clinical Lecturer / Medical Research Fellow",$B$2="Clinical Consultant - Old Contract (GP)"),$B88&lt;&gt;""),INDEX('Points Lookup'!$Q:$Q,MATCH($B88,'Points Lookup'!$P:$P,0)),IF(AND(OR($B$2="APM Level 7",$B$2="R&amp;T Level 7",$B$2="APM Level 8",$B$2="Technical Services Level 7"),B88&lt;&gt;""),INDEX('Points Lookup'!$H:$H,MATCH($AA88,'Points Lookup'!$AN:$AN,0)),IF($B$2="R&amp;T Level 5 - Clinical Lecturers (Vet School)",SUMIF('Points Lookup'!$V:$V,$B88,'Points Lookup'!$Y:$Y),IF($B$2="R&amp;T Level 6 - Clinical Associate Professors and Clinical Readers (Vet School)",SUMIF('Points Lookup'!$AC:$AC,$B88,'Points Lookup'!$AF:$AF),IFERROR(INDEX('Points Lookup'!$B:$B,MATCH($AA88,'Points Lookup'!$AN:$AN,0)),""))))))))</f>
        <v/>
      </c>
      <c r="D88" s="81"/>
      <c r="E88" s="81"/>
      <c r="F88" s="81" t="str">
        <f ca="1">IF($B88="","",IF(AND($B$2="Salary Points 3 to 57",B88&lt;Thresholds_Rates!$C$16),"-",IF(SUMIF(Grades!$A:$A,$B$2,Grades!$BO:$BO)=0,"-",IF(AND($B$2="Salary Points 3 to 57",B88&gt;=Thresholds_Rates!$C$16),$C88*Thresholds_Rates!$F$15,IF(AND(OR($B$2="New Consultant Contract"),$B88&lt;&gt;""),$C88*Thresholds_Rates!$F$15,IF(AND(OR($B$2="Clinical Lecturer / Medical Research Fellow",$B$2="Clinical Consultant - Old Contract (GP)"),$B88&lt;&gt;""),$C88*Thresholds_Rates!$F$15,IF(OR($B$2="APM Level 7",$B$2="R&amp;T Level 7"),$C88*Thresholds_Rates!$F$15,IF(SUMIF(Grades!$A:$A,$B$2,Grades!$BO:$BO)=1,$C88*Thresholds_Rates!$F$15,""))))))))</f>
        <v/>
      </c>
      <c r="G88" s="81" t="str">
        <f ca="1">IF(B88="","",IF($B$2="Salary Points 1 to 57","-",IF(SUMIF(Grades!$A:$A,$B$2,Grades!$BP:$BP)=0,"-",IF(AND(OR($B$2="New Consultant Contract"),$B88&lt;&gt;""),$C88*Thresholds_Rates!$F$16,IF(AND(OR($B$2="Clinical Lecturer / Medical Research Fellow",$B$2="Clinical Consultant - Old Contract (GP)"),$B88&lt;&gt;""),$C88*Thresholds_Rates!$F$16,IF(AND(OR($B$2="APM Level 7",$B$2="R&amp;T Level 7"),F88&lt;&gt;""),$C88*Thresholds_Rates!$F$16,IF(SUMIF(Grades!$A:$A,$B$2,Grades!$BP:$BP)=1,$C88*Thresholds_Rates!$F$16,"")))))))</f>
        <v/>
      </c>
      <c r="H88" s="81" t="str">
        <f ca="1">IF(B88="","",IF(SUMIF(Grades!$A:$A,$B$2,Grades!$BQ:$BQ)=0,"-",IF(AND($B$2="Salary Points 1 to 57",B88&gt;Thresholds_Rates!$C$17),"-",IF(AND($B$2="Salary Points 1 to 57",B88&lt;=Thresholds_Rates!$C$17),$C88*Thresholds_Rates!$F$17,IF(AND(OR($B$2="New Consultant Contract"),$B88&lt;&gt;""),$C88*Thresholds_Rates!$F$17,IF(AND(OR($B$2="Clinical Lecturer / Medical Research Fellow",$B$2="Clinical Consultant - Old Contract (GP)"),$B88&lt;&gt;""),$C88*Thresholds_Rates!$F$17,IF(AND(OR($B$2="APM Level 7",$B$2="R&amp;T Level 7"),G88&lt;&gt;""),$C88*Thresholds_Rates!$F$17,IF(SUMIF(Grades!$A:$A,$B$2,Grades!$BQ:$BQ)=1,$C88*Thresholds_Rates!$F$17,""))))))))</f>
        <v/>
      </c>
      <c r="I88" s="81" t="str">
        <f ca="1">IF($B88="","",ROUND(($C88-(Thresholds_Rates!$C$5*12))*Thresholds_Rates!$C$10,0))</f>
        <v/>
      </c>
      <c r="J88" s="81" t="str">
        <f ca="1">IF(B88="","",(C88*Thresholds_Rates!$C$12))</f>
        <v/>
      </c>
      <c r="K88" s="81" t="str">
        <f ca="1">IF(B88="","",IF(AND($B$2="Salary Points 1 to 57",B88&gt;Thresholds_Rates!$C$17),"-",IF(SUMIF(Grades!$A:$A,$B$2,Grades!$BR:$BR)=0,"-",IF(AND($B$2="Salary Points 1 to 57",B88&lt;=Thresholds_Rates!$C$17),$C88*Thresholds_Rates!$F$18,IF(AND(OR($B$2="New Consultant Contract"),$B88&lt;&gt;""),$C88*Thresholds_Rates!$F$18,IF(AND(OR($B$2="Clinical Lecturer / Medical Research Fellow",$B$2="Clinical Consultant - Old Contract (GP)"),$B88&lt;&gt;""),$C88*Thresholds_Rates!$F$18,IF(AND(OR($B$2="APM Level 7",$B$2="R&amp;T Level 7"),I88&lt;&gt;""),$C88*Thresholds_Rates!$F$18,IF(SUMIF(Grades!$A:$A,$B$2,Grades!$BQ:$BQ)=1,$C88*Thresholds_Rates!$F$18,""))))))))</f>
        <v/>
      </c>
      <c r="L88" s="68"/>
      <c r="M88" s="81" t="str">
        <f t="shared" ca="1" si="6"/>
        <v/>
      </c>
      <c r="N88" s="81" t="str">
        <f t="shared" ca="1" si="7"/>
        <v/>
      </c>
      <c r="O88" s="81" t="str">
        <f t="shared" ca="1" si="8"/>
        <v/>
      </c>
      <c r="P88" s="81" t="str">
        <f t="shared" ca="1" si="9"/>
        <v/>
      </c>
      <c r="Q88" s="81" t="str">
        <f t="shared" ca="1" si="10"/>
        <v/>
      </c>
      <c r="S88" s="83" t="str">
        <f ca="1">IF(B88="","",IF($B$2="R&amp;T Level 5 - Clinical Lecturers (Vet School)",SUMIF('Points Lookup'!$V:$V,$B88,'Points Lookup'!$W:$W),IF($B$2="R&amp;T Level 6 - Clinical Associate Professors and Clinical Readers (Vet School)",SUMIF('Points Lookup'!$AC:$AC,$B88,'Points Lookup'!$AD:$AD),"")))</f>
        <v/>
      </c>
      <c r="T88" s="84" t="str">
        <f ca="1">IF(B88="","",IF($B$2="R&amp;T Level 5 - Clinical Lecturers (Vet School)",$C88-SUMIF('Points Lookup'!$V:$V,$B88,'Points Lookup'!$X:$X),IF($B$2="R&amp;T Level 6 - Clinical Associate Professors and Clinical Readers (Vet School)",$C88-SUMIF('Points Lookup'!$AC:$AC,$B88,'Points Lookup'!$AE:$AE),"")))</f>
        <v/>
      </c>
      <c r="U88" s="83" t="str">
        <f ca="1">IF(B88="","",IF($B$2="R&amp;T Level 5 - Clinical Lecturers (Vet School)",SUMIF('Points Lookup'!$V:$V,$B88,'Points Lookup'!$Z:$Z),IF($B$2="R&amp;T Level 6 - Clinical Associate Professors and Clinical Readers (Vet School)",SUMIF('Points Lookup'!$AC:$AC,$B88,'Points Lookup'!$AG:$AG),"")))</f>
        <v/>
      </c>
      <c r="V88" s="84" t="str">
        <f t="shared" ca="1" si="11"/>
        <v/>
      </c>
    </row>
    <row r="89" spans="2:22" x14ac:dyDescent="0.25">
      <c r="B89" s="68" t="str">
        <f ca="1">IFERROR(INDEX('Points Lookup'!$A:$A,MATCH($AA91,'Points Lookup'!$AN:$AN,0)),"")</f>
        <v/>
      </c>
      <c r="C89" s="81" t="str">
        <f ca="1">IF(B89="","",IF($B$2="Apprenticeship",SUMIF('Points Lookup'!$AJ:$AJ,B89,'Points Lookup'!$AL:$AL),IF(AND(OR($B$2="New Consultant Contract"),$B89&lt;&gt;""),INDEX('Points Lookup'!$T:$T,MATCH($B89,'Points Lookup'!$S:$S,0)),IF(AND(OR($B$2="Clinical Lecturer / Medical Research Fellow",$B$2="Clinical Consultant - Old Contract (GP)"),$B89&lt;&gt;""),INDEX('Points Lookup'!$Q:$Q,MATCH($B89,'Points Lookup'!$P:$P,0)),IF(AND(OR($B$2="APM Level 7",$B$2="R&amp;T Level 7",$B$2="APM Level 8",$B$2="Technical Services Level 7"),B89&lt;&gt;""),INDEX('Points Lookup'!$H:$H,MATCH($AA89,'Points Lookup'!$AN:$AN,0)),IF($B$2="R&amp;T Level 5 - Clinical Lecturers (Vet School)",SUMIF('Points Lookup'!$V:$V,$B89,'Points Lookup'!$Y:$Y),IF($B$2="R&amp;T Level 6 - Clinical Associate Professors and Clinical Readers (Vet School)",SUMIF('Points Lookup'!$AC:$AC,$B89,'Points Lookup'!$AF:$AF),IFERROR(INDEX('Points Lookup'!$B:$B,MATCH($AA89,'Points Lookup'!$AN:$AN,0)),""))))))))</f>
        <v/>
      </c>
      <c r="D89" s="81"/>
      <c r="E89" s="81"/>
      <c r="F89" s="81" t="str">
        <f ca="1">IF($B89="","",IF(AND($B$2="Salary Points 3 to 57",B89&lt;Thresholds_Rates!$C$16),"-",IF(SUMIF(Grades!$A:$A,$B$2,Grades!$BO:$BO)=0,"-",IF(AND($B$2="Salary Points 3 to 57",B89&gt;=Thresholds_Rates!$C$16),$C89*Thresholds_Rates!$F$15,IF(AND(OR($B$2="New Consultant Contract"),$B89&lt;&gt;""),$C89*Thresholds_Rates!$F$15,IF(AND(OR($B$2="Clinical Lecturer / Medical Research Fellow",$B$2="Clinical Consultant - Old Contract (GP)"),$B89&lt;&gt;""),$C89*Thresholds_Rates!$F$15,IF(OR($B$2="APM Level 7",$B$2="R&amp;T Level 7"),$C89*Thresholds_Rates!$F$15,IF(SUMIF(Grades!$A:$A,$B$2,Grades!$BO:$BO)=1,$C89*Thresholds_Rates!$F$15,""))))))))</f>
        <v/>
      </c>
      <c r="G89" s="81" t="str">
        <f ca="1">IF(B89="","",IF($B$2="Salary Points 1 to 57","-",IF(SUMIF(Grades!$A:$A,$B$2,Grades!$BP:$BP)=0,"-",IF(AND(OR($B$2="New Consultant Contract"),$B89&lt;&gt;""),$C89*Thresholds_Rates!$F$16,IF(AND(OR($B$2="Clinical Lecturer / Medical Research Fellow",$B$2="Clinical Consultant - Old Contract (GP)"),$B89&lt;&gt;""),$C89*Thresholds_Rates!$F$16,IF(AND(OR($B$2="APM Level 7",$B$2="R&amp;T Level 7"),F89&lt;&gt;""),$C89*Thresholds_Rates!$F$16,IF(SUMIF(Grades!$A:$A,$B$2,Grades!$BP:$BP)=1,$C89*Thresholds_Rates!$F$16,"")))))))</f>
        <v/>
      </c>
      <c r="H89" s="81" t="str">
        <f ca="1">IF(B89="","",IF(SUMIF(Grades!$A:$A,$B$2,Grades!$BQ:$BQ)=0,"-",IF(AND($B$2="Salary Points 1 to 57",B89&gt;Thresholds_Rates!$C$17),"-",IF(AND($B$2="Salary Points 1 to 57",B89&lt;=Thresholds_Rates!$C$17),$C89*Thresholds_Rates!$F$17,IF(AND(OR($B$2="New Consultant Contract"),$B89&lt;&gt;""),$C89*Thresholds_Rates!$F$17,IF(AND(OR($B$2="Clinical Lecturer / Medical Research Fellow",$B$2="Clinical Consultant - Old Contract (GP)"),$B89&lt;&gt;""),$C89*Thresholds_Rates!$F$17,IF(AND(OR($B$2="APM Level 7",$B$2="R&amp;T Level 7"),G89&lt;&gt;""),$C89*Thresholds_Rates!$F$17,IF(SUMIF(Grades!$A:$A,$B$2,Grades!$BQ:$BQ)=1,$C89*Thresholds_Rates!$F$17,""))))))))</f>
        <v/>
      </c>
      <c r="I89" s="81" t="str">
        <f ca="1">IF($B89="","",ROUND(($C89-(Thresholds_Rates!$C$5*12))*Thresholds_Rates!$C$10,0))</f>
        <v/>
      </c>
      <c r="J89" s="81" t="str">
        <f ca="1">IF(B89="","",(C89*Thresholds_Rates!$C$12))</f>
        <v/>
      </c>
      <c r="K89" s="81" t="str">
        <f ca="1">IF(B89="","",IF(AND($B$2="Salary Points 1 to 57",B89&gt;Thresholds_Rates!$C$17),"-",IF(SUMIF(Grades!$A:$A,$B$2,Grades!$BR:$BR)=0,"-",IF(AND($B$2="Salary Points 1 to 57",B89&lt;=Thresholds_Rates!$C$17),$C89*Thresholds_Rates!$F$18,IF(AND(OR($B$2="New Consultant Contract"),$B89&lt;&gt;""),$C89*Thresholds_Rates!$F$18,IF(AND(OR($B$2="Clinical Lecturer / Medical Research Fellow",$B$2="Clinical Consultant - Old Contract (GP)"),$B89&lt;&gt;""),$C89*Thresholds_Rates!$F$18,IF(AND(OR($B$2="APM Level 7",$B$2="R&amp;T Level 7"),I89&lt;&gt;""),$C89*Thresholds_Rates!$F$18,IF(SUMIF(Grades!$A:$A,$B$2,Grades!$BQ:$BQ)=1,$C89*Thresholds_Rates!$F$18,""))))))))</f>
        <v/>
      </c>
      <c r="L89" s="68"/>
      <c r="M89" s="81" t="str">
        <f t="shared" ca="1" si="6"/>
        <v/>
      </c>
      <c r="N89" s="81" t="str">
        <f t="shared" ca="1" si="7"/>
        <v/>
      </c>
      <c r="O89" s="81" t="str">
        <f t="shared" ca="1" si="8"/>
        <v/>
      </c>
      <c r="P89" s="81" t="str">
        <f t="shared" ca="1" si="9"/>
        <v/>
      </c>
      <c r="Q89" s="81" t="str">
        <f t="shared" ca="1" si="10"/>
        <v/>
      </c>
      <c r="S89" s="83" t="str">
        <f ca="1">IF(B89="","",IF($B$2="R&amp;T Level 5 - Clinical Lecturers (Vet School)",SUMIF('Points Lookup'!$V:$V,$B89,'Points Lookup'!$W:$W),IF($B$2="R&amp;T Level 6 - Clinical Associate Professors and Clinical Readers (Vet School)",SUMIF('Points Lookup'!$AC:$AC,$B89,'Points Lookup'!$AD:$AD),"")))</f>
        <v/>
      </c>
      <c r="T89" s="84" t="str">
        <f ca="1">IF(B89="","",IF($B$2="R&amp;T Level 5 - Clinical Lecturers (Vet School)",$C89-SUMIF('Points Lookup'!$V:$V,$B89,'Points Lookup'!$X:$X),IF($B$2="R&amp;T Level 6 - Clinical Associate Professors and Clinical Readers (Vet School)",$C89-SUMIF('Points Lookup'!$AC:$AC,$B89,'Points Lookup'!$AE:$AE),"")))</f>
        <v/>
      </c>
      <c r="U89" s="83" t="str">
        <f ca="1">IF(B89="","",IF($B$2="R&amp;T Level 5 - Clinical Lecturers (Vet School)",SUMIF('Points Lookup'!$V:$V,$B89,'Points Lookup'!$Z:$Z),IF($B$2="R&amp;T Level 6 - Clinical Associate Professors and Clinical Readers (Vet School)",SUMIF('Points Lookup'!$AC:$AC,$B89,'Points Lookup'!$AG:$AG),"")))</f>
        <v/>
      </c>
      <c r="V89" s="84" t="str">
        <f t="shared" ca="1" si="11"/>
        <v/>
      </c>
    </row>
    <row r="90" spans="2:22" x14ac:dyDescent="0.25">
      <c r="B90" s="68" t="str">
        <f ca="1">IFERROR(INDEX('Points Lookup'!$A:$A,MATCH($AA92,'Points Lookup'!$AN:$AN,0)),"")</f>
        <v/>
      </c>
      <c r="C90" s="81" t="str">
        <f ca="1">IF(B90="","",IF($B$2="Apprenticeship",SUMIF('Points Lookup'!$AJ:$AJ,B90,'Points Lookup'!$AL:$AL),IF(AND(OR($B$2="New Consultant Contract"),$B90&lt;&gt;""),INDEX('Points Lookup'!$T:$T,MATCH($B90,'Points Lookup'!$S:$S,0)),IF(AND(OR($B$2="Clinical Lecturer / Medical Research Fellow",$B$2="Clinical Consultant - Old Contract (GP)"),$B90&lt;&gt;""),INDEX('Points Lookup'!$Q:$Q,MATCH($B90,'Points Lookup'!$P:$P,0)),IF(AND(OR($B$2="APM Level 7",$B$2="R&amp;T Level 7",$B$2="APM Level 8",$B$2="Technical Services Level 7"),B90&lt;&gt;""),INDEX('Points Lookup'!$H:$H,MATCH($AA90,'Points Lookup'!$AN:$AN,0)),IF($B$2="R&amp;T Level 5 - Clinical Lecturers (Vet School)",SUMIF('Points Lookup'!$V:$V,$B90,'Points Lookup'!$Y:$Y),IF($B$2="R&amp;T Level 6 - Clinical Associate Professors and Clinical Readers (Vet School)",SUMIF('Points Lookup'!$AC:$AC,$B90,'Points Lookup'!$AF:$AF),IFERROR(INDEX('Points Lookup'!$B:$B,MATCH($AA90,'Points Lookup'!$AN:$AN,0)),""))))))))</f>
        <v/>
      </c>
      <c r="D90" s="81"/>
      <c r="E90" s="81"/>
      <c r="F90" s="81" t="str">
        <f ca="1">IF($B90="","",IF(AND($B$2="Salary Points 3 to 57",B90&lt;Thresholds_Rates!$C$16),"-",IF(SUMIF(Grades!$A:$A,$B$2,Grades!$BO:$BO)=0,"-",IF(AND($B$2="Salary Points 3 to 57",B90&gt;=Thresholds_Rates!$C$16),$C90*Thresholds_Rates!$F$15,IF(AND(OR($B$2="New Consultant Contract"),$B90&lt;&gt;""),$C90*Thresholds_Rates!$F$15,IF(AND(OR($B$2="Clinical Lecturer / Medical Research Fellow",$B$2="Clinical Consultant - Old Contract (GP)"),$B90&lt;&gt;""),$C90*Thresholds_Rates!$F$15,IF(OR($B$2="APM Level 7",$B$2="R&amp;T Level 7"),$C90*Thresholds_Rates!$F$15,IF(SUMIF(Grades!$A:$A,$B$2,Grades!$BO:$BO)=1,$C90*Thresholds_Rates!$F$15,""))))))))</f>
        <v/>
      </c>
      <c r="G90" s="81" t="str">
        <f ca="1">IF(B90="","",IF($B$2="Salary Points 1 to 57","-",IF(SUMIF(Grades!$A:$A,$B$2,Grades!$BP:$BP)=0,"-",IF(AND(OR($B$2="New Consultant Contract"),$B90&lt;&gt;""),$C90*Thresholds_Rates!$F$16,IF(AND(OR($B$2="Clinical Lecturer / Medical Research Fellow",$B$2="Clinical Consultant - Old Contract (GP)"),$B90&lt;&gt;""),$C90*Thresholds_Rates!$F$16,IF(AND(OR($B$2="APM Level 7",$B$2="R&amp;T Level 7"),F90&lt;&gt;""),$C90*Thresholds_Rates!$F$16,IF(SUMIF(Grades!$A:$A,$B$2,Grades!$BP:$BP)=1,$C90*Thresholds_Rates!$F$16,"")))))))</f>
        <v/>
      </c>
      <c r="H90" s="81" t="str">
        <f ca="1">IF(B90="","",IF(SUMIF(Grades!$A:$A,$B$2,Grades!$BQ:$BQ)=0,"-",IF(AND($B$2="Salary Points 1 to 57",B90&gt;Thresholds_Rates!$C$17),"-",IF(AND($B$2="Salary Points 1 to 57",B90&lt;=Thresholds_Rates!$C$17),$C90*Thresholds_Rates!$F$17,IF(AND(OR($B$2="New Consultant Contract"),$B90&lt;&gt;""),$C90*Thresholds_Rates!$F$17,IF(AND(OR($B$2="Clinical Lecturer / Medical Research Fellow",$B$2="Clinical Consultant - Old Contract (GP)"),$B90&lt;&gt;""),$C90*Thresholds_Rates!$F$17,IF(AND(OR($B$2="APM Level 7",$B$2="R&amp;T Level 7"),G90&lt;&gt;""),$C90*Thresholds_Rates!$F$17,IF(SUMIF(Grades!$A:$A,$B$2,Grades!$BQ:$BQ)=1,$C90*Thresholds_Rates!$F$17,""))))))))</f>
        <v/>
      </c>
      <c r="I90" s="81" t="str">
        <f ca="1">IF($B90="","",ROUND(($C90-(Thresholds_Rates!$C$5*12))*Thresholds_Rates!$C$10,0))</f>
        <v/>
      </c>
      <c r="J90" s="81" t="str">
        <f ca="1">IF(B90="","",(C90*Thresholds_Rates!$C$12))</f>
        <v/>
      </c>
      <c r="K90" s="81" t="str">
        <f ca="1">IF(B90="","",IF(AND($B$2="Salary Points 1 to 57",B90&gt;Thresholds_Rates!$C$17),"-",IF(SUMIF(Grades!$A:$A,$B$2,Grades!$BR:$BR)=0,"-",IF(AND($B$2="Salary Points 1 to 57",B90&lt;=Thresholds_Rates!$C$17),$C90*Thresholds_Rates!$F$18,IF(AND(OR($B$2="New Consultant Contract"),$B90&lt;&gt;""),$C90*Thresholds_Rates!$F$18,IF(AND(OR($B$2="Clinical Lecturer / Medical Research Fellow",$B$2="Clinical Consultant - Old Contract (GP)"),$B90&lt;&gt;""),$C90*Thresholds_Rates!$F$18,IF(AND(OR($B$2="APM Level 7",$B$2="R&amp;T Level 7"),I90&lt;&gt;""),$C90*Thresholds_Rates!$F$18,IF(SUMIF(Grades!$A:$A,$B$2,Grades!$BQ:$BQ)=1,$C90*Thresholds_Rates!$F$18,""))))))))</f>
        <v/>
      </c>
      <c r="L90" s="68"/>
      <c r="M90" s="81" t="str">
        <f t="shared" ca="1" si="6"/>
        <v/>
      </c>
      <c r="N90" s="81" t="str">
        <f t="shared" ca="1" si="7"/>
        <v/>
      </c>
      <c r="O90" s="81" t="str">
        <f t="shared" ca="1" si="8"/>
        <v/>
      </c>
      <c r="P90" s="81" t="str">
        <f t="shared" ca="1" si="9"/>
        <v/>
      </c>
      <c r="Q90" s="81" t="str">
        <f t="shared" ca="1" si="10"/>
        <v/>
      </c>
      <c r="S90" s="83" t="str">
        <f ca="1">IF(B90="","",IF($B$2="R&amp;T Level 5 - Clinical Lecturers (Vet School)",SUMIF('Points Lookup'!$V:$V,$B90,'Points Lookup'!$W:$W),IF($B$2="R&amp;T Level 6 - Clinical Associate Professors and Clinical Readers (Vet School)",SUMIF('Points Lookup'!$AC:$AC,$B90,'Points Lookup'!$AD:$AD),"")))</f>
        <v/>
      </c>
      <c r="T90" s="84" t="str">
        <f ca="1">IF(B90="","",IF($B$2="R&amp;T Level 5 - Clinical Lecturers (Vet School)",$C90-SUMIF('Points Lookup'!$V:$V,$B90,'Points Lookup'!$X:$X),IF($B$2="R&amp;T Level 6 - Clinical Associate Professors and Clinical Readers (Vet School)",$C90-SUMIF('Points Lookup'!$AC:$AC,$B90,'Points Lookup'!$AE:$AE),"")))</f>
        <v/>
      </c>
      <c r="U90" s="83" t="str">
        <f ca="1">IF(B90="","",IF($B$2="R&amp;T Level 5 - Clinical Lecturers (Vet School)",SUMIF('Points Lookup'!$V:$V,$B90,'Points Lookup'!$Z:$Z),IF($B$2="R&amp;T Level 6 - Clinical Associate Professors and Clinical Readers (Vet School)",SUMIF('Points Lookup'!$AC:$AC,$B90,'Points Lookup'!$AG:$AG),"")))</f>
        <v/>
      </c>
      <c r="V90" s="84" t="str">
        <f t="shared" ca="1" si="11"/>
        <v/>
      </c>
    </row>
    <row r="91" spans="2:22" x14ac:dyDescent="0.25">
      <c r="B91" s="68" t="str">
        <f ca="1">IFERROR(INDEX('Points Lookup'!$A:$A,MATCH($AA93,'Points Lookup'!$AN:$AN,0)),"")</f>
        <v/>
      </c>
      <c r="C91" s="81" t="str">
        <f ca="1">IF(B91="","",IF($B$2="Apprenticeship",SUMIF('Points Lookup'!$AJ:$AJ,B91,'Points Lookup'!$AL:$AL),IF(AND(OR($B$2="New Consultant Contract"),$B91&lt;&gt;""),INDEX('Points Lookup'!$T:$T,MATCH($B91,'Points Lookup'!$S:$S,0)),IF(AND(OR($B$2="Clinical Lecturer / Medical Research Fellow",$B$2="Clinical Consultant - Old Contract (GP)"),$B91&lt;&gt;""),INDEX('Points Lookup'!$Q:$Q,MATCH($B91,'Points Lookup'!$P:$P,0)),IF(AND(OR($B$2="APM Level 7",$B$2="R&amp;T Level 7",$B$2="APM Level 8",$B$2="Technical Services Level 7"),B91&lt;&gt;""),INDEX('Points Lookup'!$H:$H,MATCH($AA91,'Points Lookup'!$AN:$AN,0)),IF($B$2="R&amp;T Level 5 - Clinical Lecturers (Vet School)",SUMIF('Points Lookup'!$V:$V,$B91,'Points Lookup'!$Y:$Y),IF($B$2="R&amp;T Level 6 - Clinical Associate Professors and Clinical Readers (Vet School)",SUMIF('Points Lookup'!$AC:$AC,$B91,'Points Lookup'!$AF:$AF),IFERROR(INDEX('Points Lookup'!$B:$B,MATCH($AA91,'Points Lookup'!$AN:$AN,0)),""))))))))</f>
        <v/>
      </c>
      <c r="D91" s="81"/>
      <c r="E91" s="81"/>
      <c r="F91" s="81" t="str">
        <f ca="1">IF($B91="","",IF(AND($B$2="Salary Points 3 to 57",B91&lt;Thresholds_Rates!$C$16),"-",IF(SUMIF(Grades!$A:$A,$B$2,Grades!$BO:$BO)=0,"-",IF(AND($B$2="Salary Points 3 to 57",B91&gt;=Thresholds_Rates!$C$16),$C91*Thresholds_Rates!$F$15,IF(AND(OR($B$2="New Consultant Contract"),$B91&lt;&gt;""),$C91*Thresholds_Rates!$F$15,IF(AND(OR($B$2="Clinical Lecturer / Medical Research Fellow",$B$2="Clinical Consultant - Old Contract (GP)"),$B91&lt;&gt;""),$C91*Thresholds_Rates!$F$15,IF(OR($B$2="APM Level 7",$B$2="R&amp;T Level 7"),$C91*Thresholds_Rates!$F$15,IF(SUMIF(Grades!$A:$A,$B$2,Grades!$BO:$BO)=1,$C91*Thresholds_Rates!$F$15,""))))))))</f>
        <v/>
      </c>
      <c r="G91" s="81" t="str">
        <f ca="1">IF(B91="","",IF($B$2="Salary Points 1 to 57","-",IF(SUMIF(Grades!$A:$A,$B$2,Grades!$BP:$BP)=0,"-",IF(AND(OR($B$2="New Consultant Contract"),$B91&lt;&gt;""),$C91*Thresholds_Rates!$F$16,IF(AND(OR($B$2="Clinical Lecturer / Medical Research Fellow",$B$2="Clinical Consultant - Old Contract (GP)"),$B91&lt;&gt;""),$C91*Thresholds_Rates!$F$16,IF(AND(OR($B$2="APM Level 7",$B$2="R&amp;T Level 7"),F91&lt;&gt;""),$C91*Thresholds_Rates!$F$16,IF(SUMIF(Grades!$A:$A,$B$2,Grades!$BP:$BP)=1,$C91*Thresholds_Rates!$F$16,"")))))))</f>
        <v/>
      </c>
      <c r="H91" s="81" t="str">
        <f ca="1">IF(B91="","",IF(SUMIF(Grades!$A:$A,$B$2,Grades!$BQ:$BQ)=0,"-",IF(AND($B$2="Salary Points 1 to 57",B91&gt;Thresholds_Rates!$C$17),"-",IF(AND($B$2="Salary Points 1 to 57",B91&lt;=Thresholds_Rates!$C$17),$C91*Thresholds_Rates!$F$17,IF(AND(OR($B$2="New Consultant Contract"),$B91&lt;&gt;""),$C91*Thresholds_Rates!$F$17,IF(AND(OR($B$2="Clinical Lecturer / Medical Research Fellow",$B$2="Clinical Consultant - Old Contract (GP)"),$B91&lt;&gt;""),$C91*Thresholds_Rates!$F$17,IF(AND(OR($B$2="APM Level 7",$B$2="R&amp;T Level 7"),G91&lt;&gt;""),$C91*Thresholds_Rates!$F$17,IF(SUMIF(Grades!$A:$A,$B$2,Grades!$BQ:$BQ)=1,$C91*Thresholds_Rates!$F$17,""))))))))</f>
        <v/>
      </c>
      <c r="I91" s="81" t="str">
        <f ca="1">IF($B91="","",ROUND(($C91-(Thresholds_Rates!$C$5*12))*Thresholds_Rates!$C$10,0))</f>
        <v/>
      </c>
      <c r="J91" s="81" t="str">
        <f ca="1">IF(B91="","",(C91*Thresholds_Rates!$C$12))</f>
        <v/>
      </c>
      <c r="K91" s="81" t="str">
        <f ca="1">IF(B91="","",IF(AND($B$2="Salary Points 1 to 57",B91&gt;Thresholds_Rates!$C$17),"-",IF(SUMIF(Grades!$A:$A,$B$2,Grades!$BR:$BR)=0,"-",IF(AND($B$2="Salary Points 1 to 57",B91&lt;=Thresholds_Rates!$C$17),$C91*Thresholds_Rates!$F$18,IF(AND(OR($B$2="New Consultant Contract"),$B91&lt;&gt;""),$C91*Thresholds_Rates!$F$18,IF(AND(OR($B$2="Clinical Lecturer / Medical Research Fellow",$B$2="Clinical Consultant - Old Contract (GP)"),$B91&lt;&gt;""),$C91*Thresholds_Rates!$F$18,IF(AND(OR($B$2="APM Level 7",$B$2="R&amp;T Level 7"),I91&lt;&gt;""),$C91*Thresholds_Rates!$F$18,IF(SUMIF(Grades!$A:$A,$B$2,Grades!$BQ:$BQ)=1,$C91*Thresholds_Rates!$F$18,""))))))))</f>
        <v/>
      </c>
      <c r="L91" s="68"/>
      <c r="M91" s="81" t="str">
        <f t="shared" ca="1" si="6"/>
        <v/>
      </c>
      <c r="N91" s="81" t="str">
        <f t="shared" ca="1" si="7"/>
        <v/>
      </c>
      <c r="O91" s="81" t="str">
        <f t="shared" ca="1" si="8"/>
        <v/>
      </c>
      <c r="P91" s="81" t="str">
        <f t="shared" ca="1" si="9"/>
        <v/>
      </c>
      <c r="Q91" s="81" t="str">
        <f t="shared" ca="1" si="10"/>
        <v/>
      </c>
      <c r="S91" s="83" t="str">
        <f ca="1">IF(B91="","",IF($B$2="R&amp;T Level 5 - Clinical Lecturers (Vet School)",SUMIF('Points Lookup'!$V:$V,$B91,'Points Lookup'!$W:$W),IF($B$2="R&amp;T Level 6 - Clinical Associate Professors and Clinical Readers (Vet School)",SUMIF('Points Lookup'!$AC:$AC,$B91,'Points Lookup'!$AD:$AD),"")))</f>
        <v/>
      </c>
      <c r="T91" s="84" t="str">
        <f ca="1">IF(B91="","",IF($B$2="R&amp;T Level 5 - Clinical Lecturers (Vet School)",$C91-SUMIF('Points Lookup'!$V:$V,$B91,'Points Lookup'!$X:$X),IF($B$2="R&amp;T Level 6 - Clinical Associate Professors and Clinical Readers (Vet School)",$C91-SUMIF('Points Lookup'!$AC:$AC,$B91,'Points Lookup'!$AE:$AE),"")))</f>
        <v/>
      </c>
      <c r="U91" s="83" t="str">
        <f ca="1">IF(B91="","",IF($B$2="R&amp;T Level 5 - Clinical Lecturers (Vet School)",SUMIF('Points Lookup'!$V:$V,$B91,'Points Lookup'!$Z:$Z),IF($B$2="R&amp;T Level 6 - Clinical Associate Professors and Clinical Readers (Vet School)",SUMIF('Points Lookup'!$AC:$AC,$B91,'Points Lookup'!$AG:$AG),"")))</f>
        <v/>
      </c>
      <c r="V91" s="84" t="str">
        <f t="shared" ca="1" si="11"/>
        <v/>
      </c>
    </row>
    <row r="92" spans="2:22" x14ac:dyDescent="0.25">
      <c r="B92" s="68" t="str">
        <f ca="1">IFERROR(INDEX('Points Lookup'!$A:$A,MATCH($AA94,'Points Lookup'!$AN:$AN,0)),"")</f>
        <v/>
      </c>
      <c r="C92" s="81" t="str">
        <f ca="1">IF(B92="","",IF($B$2="Apprenticeship",SUMIF('Points Lookup'!$AJ:$AJ,B92,'Points Lookup'!$AL:$AL),IF(AND(OR($B$2="New Consultant Contract"),$B92&lt;&gt;""),INDEX('Points Lookup'!$T:$T,MATCH($B92,'Points Lookup'!$S:$S,0)),IF(AND(OR($B$2="Clinical Lecturer / Medical Research Fellow",$B$2="Clinical Consultant - Old Contract (GP)"),$B92&lt;&gt;""),INDEX('Points Lookup'!$Q:$Q,MATCH($B92,'Points Lookup'!$P:$P,0)),IF(AND(OR($B$2="APM Level 7",$B$2="R&amp;T Level 7",$B$2="APM Level 8",$B$2="Technical Services Level 7"),B92&lt;&gt;""),INDEX('Points Lookup'!$H:$H,MATCH($AA92,'Points Lookup'!$AN:$AN,0)),IF($B$2="R&amp;T Level 5 - Clinical Lecturers (Vet School)",SUMIF('Points Lookup'!$V:$V,$B92,'Points Lookup'!$Y:$Y),IF($B$2="R&amp;T Level 6 - Clinical Associate Professors and Clinical Readers (Vet School)",SUMIF('Points Lookup'!$AC:$AC,$B92,'Points Lookup'!$AF:$AF),IFERROR(INDEX('Points Lookup'!$B:$B,MATCH($AA92,'Points Lookup'!$AN:$AN,0)),""))))))))</f>
        <v/>
      </c>
      <c r="D92" s="81"/>
      <c r="E92" s="81"/>
      <c r="F92" s="81" t="str">
        <f ca="1">IF($B92="","",IF(AND($B$2="Salary Points 3 to 57",B92&lt;Thresholds_Rates!$C$16),"-",IF(SUMIF(Grades!$A:$A,$B$2,Grades!$BO:$BO)=0,"-",IF(AND($B$2="Salary Points 3 to 57",B92&gt;=Thresholds_Rates!$C$16),$C92*Thresholds_Rates!$F$15,IF(AND(OR($B$2="New Consultant Contract"),$B92&lt;&gt;""),$C92*Thresholds_Rates!$F$15,IF(AND(OR($B$2="Clinical Lecturer / Medical Research Fellow",$B$2="Clinical Consultant - Old Contract (GP)"),$B92&lt;&gt;""),$C92*Thresholds_Rates!$F$15,IF(OR($B$2="APM Level 7",$B$2="R&amp;T Level 7"),$C92*Thresholds_Rates!$F$15,IF(SUMIF(Grades!$A:$A,$B$2,Grades!$BO:$BO)=1,$C92*Thresholds_Rates!$F$15,""))))))))</f>
        <v/>
      </c>
      <c r="G92" s="81" t="str">
        <f ca="1">IF(B92="","",IF($B$2="Salary Points 1 to 57","-",IF(SUMIF(Grades!$A:$A,$B$2,Grades!$BP:$BP)=0,"-",IF(AND(OR($B$2="New Consultant Contract"),$B92&lt;&gt;""),$C92*Thresholds_Rates!$F$16,IF(AND(OR($B$2="Clinical Lecturer / Medical Research Fellow",$B$2="Clinical Consultant - Old Contract (GP)"),$B92&lt;&gt;""),$C92*Thresholds_Rates!$F$16,IF(AND(OR($B$2="APM Level 7",$B$2="R&amp;T Level 7"),F92&lt;&gt;""),$C92*Thresholds_Rates!$F$16,IF(SUMIF(Grades!$A:$A,$B$2,Grades!$BP:$BP)=1,$C92*Thresholds_Rates!$F$16,"")))))))</f>
        <v/>
      </c>
      <c r="H92" s="81" t="str">
        <f ca="1">IF(B92="","",IF(SUMIF(Grades!$A:$A,$B$2,Grades!$BQ:$BQ)=0,"-",IF(AND($B$2="Salary Points 1 to 57",B92&gt;Thresholds_Rates!$C$17),"-",IF(AND($B$2="Salary Points 1 to 57",B92&lt;=Thresholds_Rates!$C$17),$C92*Thresholds_Rates!$F$17,IF(AND(OR($B$2="New Consultant Contract"),$B92&lt;&gt;""),$C92*Thresholds_Rates!$F$17,IF(AND(OR($B$2="Clinical Lecturer / Medical Research Fellow",$B$2="Clinical Consultant - Old Contract (GP)"),$B92&lt;&gt;""),$C92*Thresholds_Rates!$F$17,IF(AND(OR($B$2="APM Level 7",$B$2="R&amp;T Level 7"),G92&lt;&gt;""),$C92*Thresholds_Rates!$F$17,IF(SUMIF(Grades!$A:$A,$B$2,Grades!$BQ:$BQ)=1,$C92*Thresholds_Rates!$F$17,""))))))))</f>
        <v/>
      </c>
      <c r="I92" s="81" t="str">
        <f ca="1">IF($B92="","",ROUND(($C92-(Thresholds_Rates!$C$5*12))*Thresholds_Rates!$C$10,0))</f>
        <v/>
      </c>
      <c r="J92" s="81" t="str">
        <f ca="1">IF(B92="","",(C92*Thresholds_Rates!$C$12))</f>
        <v/>
      </c>
      <c r="K92" s="81" t="str">
        <f ca="1">IF(B92="","",IF(AND($B$2="Salary Points 1 to 57",B92&gt;Thresholds_Rates!$C$17),"-",IF(SUMIF(Grades!$A:$A,$B$2,Grades!$BR:$BR)=0,"-",IF(AND($B$2="Salary Points 1 to 57",B92&lt;=Thresholds_Rates!$C$17),$C92*Thresholds_Rates!$F$18,IF(AND(OR($B$2="New Consultant Contract"),$B92&lt;&gt;""),$C92*Thresholds_Rates!$F$18,IF(AND(OR($B$2="Clinical Lecturer / Medical Research Fellow",$B$2="Clinical Consultant - Old Contract (GP)"),$B92&lt;&gt;""),$C92*Thresholds_Rates!$F$18,IF(AND(OR($B$2="APM Level 7",$B$2="R&amp;T Level 7"),I92&lt;&gt;""),$C92*Thresholds_Rates!$F$18,IF(SUMIF(Grades!$A:$A,$B$2,Grades!$BQ:$BQ)=1,$C92*Thresholds_Rates!$F$18,""))))))))</f>
        <v/>
      </c>
      <c r="L92" s="68"/>
      <c r="M92" s="81" t="str">
        <f t="shared" ca="1" si="6"/>
        <v/>
      </c>
      <c r="N92" s="81" t="str">
        <f t="shared" ca="1" si="7"/>
        <v/>
      </c>
      <c r="O92" s="81" t="str">
        <f t="shared" ca="1" si="8"/>
        <v/>
      </c>
      <c r="P92" s="81" t="str">
        <f t="shared" ca="1" si="9"/>
        <v/>
      </c>
      <c r="Q92" s="81" t="str">
        <f t="shared" ca="1" si="10"/>
        <v/>
      </c>
      <c r="S92" s="83" t="str">
        <f ca="1">IF(B92="","",IF($B$2="R&amp;T Level 5 - Clinical Lecturers (Vet School)",SUMIF('Points Lookup'!$V:$V,$B92,'Points Lookup'!$W:$W),IF($B$2="R&amp;T Level 6 - Clinical Associate Professors and Clinical Readers (Vet School)",SUMIF('Points Lookup'!$AC:$AC,$B92,'Points Lookup'!$AD:$AD),"")))</f>
        <v/>
      </c>
      <c r="T92" s="84" t="str">
        <f ca="1">IF(B92="","",IF($B$2="R&amp;T Level 5 - Clinical Lecturers (Vet School)",$C92-SUMIF('Points Lookup'!$V:$V,$B92,'Points Lookup'!$X:$X),IF($B$2="R&amp;T Level 6 - Clinical Associate Professors and Clinical Readers (Vet School)",$C92-SUMIF('Points Lookup'!$AC:$AC,$B92,'Points Lookup'!$AE:$AE),"")))</f>
        <v/>
      </c>
      <c r="U92" s="83" t="str">
        <f ca="1">IF(B92="","",IF($B$2="R&amp;T Level 5 - Clinical Lecturers (Vet School)",SUMIF('Points Lookup'!$V:$V,$B92,'Points Lookup'!$Z:$Z),IF($B$2="R&amp;T Level 6 - Clinical Associate Professors and Clinical Readers (Vet School)",SUMIF('Points Lookup'!$AC:$AC,$B92,'Points Lookup'!$AG:$AG),"")))</f>
        <v/>
      </c>
      <c r="V92" s="84" t="str">
        <f t="shared" ca="1" si="11"/>
        <v/>
      </c>
    </row>
    <row r="93" spans="2:22" x14ac:dyDescent="0.25">
      <c r="B93" s="68" t="str">
        <f ca="1">IFERROR(INDEX('Points Lookup'!$A:$A,MATCH($AA95,'Points Lookup'!$AN:$AN,0)),"")</f>
        <v/>
      </c>
      <c r="C93" s="81" t="str">
        <f ca="1">IF(B93="","",IF($B$2="Apprenticeship",SUMIF('Points Lookup'!$AJ:$AJ,B93,'Points Lookup'!$AL:$AL),IF(AND(OR($B$2="New Consultant Contract"),$B93&lt;&gt;""),INDEX('Points Lookup'!$T:$T,MATCH($B93,'Points Lookup'!$S:$S,0)),IF(AND(OR($B$2="Clinical Lecturer / Medical Research Fellow",$B$2="Clinical Consultant - Old Contract (GP)"),$B93&lt;&gt;""),INDEX('Points Lookup'!$Q:$Q,MATCH($B93,'Points Lookup'!$P:$P,0)),IF(AND(OR($B$2="APM Level 7",$B$2="R&amp;T Level 7",$B$2="APM Level 8",$B$2="Technical Services Level 7"),B93&lt;&gt;""),INDEX('Points Lookup'!$H:$H,MATCH($AA93,'Points Lookup'!$AN:$AN,0)),IF($B$2="R&amp;T Level 5 - Clinical Lecturers (Vet School)",SUMIF('Points Lookup'!$V:$V,$B93,'Points Lookup'!$Y:$Y),IF($B$2="R&amp;T Level 6 - Clinical Associate Professors and Clinical Readers (Vet School)",SUMIF('Points Lookup'!$AC:$AC,$B93,'Points Lookup'!$AF:$AF),IFERROR(INDEX('Points Lookup'!$B:$B,MATCH($AA93,'Points Lookup'!$AN:$AN,0)),""))))))))</f>
        <v/>
      </c>
      <c r="D93" s="81"/>
      <c r="E93" s="81"/>
      <c r="F93" s="81" t="str">
        <f ca="1">IF($B93="","",IF(AND($B$2="Salary Points 3 to 57",B93&lt;Thresholds_Rates!$C$16),"-",IF(SUMIF(Grades!$A:$A,$B$2,Grades!$BO:$BO)=0,"-",IF(AND($B$2="Salary Points 3 to 57",B93&gt;=Thresholds_Rates!$C$16),$C93*Thresholds_Rates!$F$15,IF(AND(OR($B$2="New Consultant Contract"),$B93&lt;&gt;""),$C93*Thresholds_Rates!$F$15,IF(AND(OR($B$2="Clinical Lecturer / Medical Research Fellow",$B$2="Clinical Consultant - Old Contract (GP)"),$B93&lt;&gt;""),$C93*Thresholds_Rates!$F$15,IF(OR($B$2="APM Level 7",$B$2="R&amp;T Level 7"),$C93*Thresholds_Rates!$F$15,IF(SUMIF(Grades!$A:$A,$B$2,Grades!$BO:$BO)=1,$C93*Thresholds_Rates!$F$15,""))))))))</f>
        <v/>
      </c>
      <c r="G93" s="81" t="str">
        <f ca="1">IF(B93="","",IF($B$2="Salary Points 1 to 57","-",IF(SUMIF(Grades!$A:$A,$B$2,Grades!$BP:$BP)=0,"-",IF(AND(OR($B$2="New Consultant Contract"),$B93&lt;&gt;""),$C93*Thresholds_Rates!$F$16,IF(AND(OR($B$2="Clinical Lecturer / Medical Research Fellow",$B$2="Clinical Consultant - Old Contract (GP)"),$B93&lt;&gt;""),$C93*Thresholds_Rates!$F$16,IF(AND(OR($B$2="APM Level 7",$B$2="R&amp;T Level 7"),F93&lt;&gt;""),$C93*Thresholds_Rates!$F$16,IF(SUMIF(Grades!$A:$A,$B$2,Grades!$BP:$BP)=1,$C93*Thresholds_Rates!$F$16,"")))))))</f>
        <v/>
      </c>
      <c r="H93" s="81" t="str">
        <f ca="1">IF(B93="","",IF(SUMIF(Grades!$A:$A,$B$2,Grades!$BQ:$BQ)=0,"-",IF(AND($B$2="Salary Points 1 to 57",B93&gt;Thresholds_Rates!$C$17),"-",IF(AND($B$2="Salary Points 1 to 57",B93&lt;=Thresholds_Rates!$C$17),$C93*Thresholds_Rates!$F$17,IF(AND(OR($B$2="New Consultant Contract"),$B93&lt;&gt;""),$C93*Thresholds_Rates!$F$17,IF(AND(OR($B$2="Clinical Lecturer / Medical Research Fellow",$B$2="Clinical Consultant - Old Contract (GP)"),$B93&lt;&gt;""),$C93*Thresholds_Rates!$F$17,IF(AND(OR($B$2="APM Level 7",$B$2="R&amp;T Level 7"),G93&lt;&gt;""),$C93*Thresholds_Rates!$F$17,IF(SUMIF(Grades!$A:$A,$B$2,Grades!$BQ:$BQ)=1,$C93*Thresholds_Rates!$F$17,""))))))))</f>
        <v/>
      </c>
      <c r="I93" s="81" t="str">
        <f ca="1">IF($B93="","",ROUND(($C93-(Thresholds_Rates!$C$5*12))*Thresholds_Rates!$C$10,0))</f>
        <v/>
      </c>
      <c r="J93" s="81" t="str">
        <f ca="1">IF(B93="","",(C93*Thresholds_Rates!$C$12))</f>
        <v/>
      </c>
      <c r="K93" s="81" t="str">
        <f ca="1">IF(B93="","",IF(AND($B$2="Salary Points 1 to 57",B93&gt;Thresholds_Rates!$C$17),"-",IF(SUMIF(Grades!$A:$A,$B$2,Grades!$BR:$BR)=0,"-",IF(AND($B$2="Salary Points 1 to 57",B93&lt;=Thresholds_Rates!$C$17),$C93*Thresholds_Rates!$F$18,IF(AND(OR($B$2="New Consultant Contract"),$B93&lt;&gt;""),$C93*Thresholds_Rates!$F$18,IF(AND(OR($B$2="Clinical Lecturer / Medical Research Fellow",$B$2="Clinical Consultant - Old Contract (GP)"),$B93&lt;&gt;""),$C93*Thresholds_Rates!$F$18,IF(AND(OR($B$2="APM Level 7",$B$2="R&amp;T Level 7"),I93&lt;&gt;""),$C93*Thresholds_Rates!$F$18,IF(SUMIF(Grades!$A:$A,$B$2,Grades!$BQ:$BQ)=1,$C93*Thresholds_Rates!$F$18,""))))))))</f>
        <v/>
      </c>
      <c r="L93" s="68"/>
      <c r="M93" s="81" t="str">
        <f t="shared" ca="1" si="6"/>
        <v/>
      </c>
      <c r="N93" s="81" t="str">
        <f t="shared" ca="1" si="7"/>
        <v/>
      </c>
      <c r="O93" s="81" t="str">
        <f t="shared" ca="1" si="8"/>
        <v/>
      </c>
      <c r="P93" s="81" t="str">
        <f t="shared" ca="1" si="9"/>
        <v/>
      </c>
      <c r="Q93" s="81" t="str">
        <f t="shared" ca="1" si="10"/>
        <v/>
      </c>
      <c r="S93" s="83" t="str">
        <f ca="1">IF(B93="","",IF($B$2="R&amp;T Level 5 - Clinical Lecturers (Vet School)",SUMIF('Points Lookup'!$V:$V,$B93,'Points Lookup'!$W:$W),IF($B$2="R&amp;T Level 6 - Clinical Associate Professors and Clinical Readers (Vet School)",SUMIF('Points Lookup'!$AC:$AC,$B93,'Points Lookup'!$AD:$AD),"")))</f>
        <v/>
      </c>
      <c r="T93" s="84" t="str">
        <f ca="1">IF(B93="","",IF($B$2="R&amp;T Level 5 - Clinical Lecturers (Vet School)",$C93-SUMIF('Points Lookup'!$V:$V,$B93,'Points Lookup'!$X:$X),IF($B$2="R&amp;T Level 6 - Clinical Associate Professors and Clinical Readers (Vet School)",$C93-SUMIF('Points Lookup'!$AC:$AC,$B93,'Points Lookup'!$AE:$AE),"")))</f>
        <v/>
      </c>
      <c r="U93" s="83" t="str">
        <f ca="1">IF(B93="","",IF($B$2="R&amp;T Level 5 - Clinical Lecturers (Vet School)",SUMIF('Points Lookup'!$V:$V,$B93,'Points Lookup'!$Z:$Z),IF($B$2="R&amp;T Level 6 - Clinical Associate Professors and Clinical Readers (Vet School)",SUMIF('Points Lookup'!$AC:$AC,$B93,'Points Lookup'!$AG:$AG),"")))</f>
        <v/>
      </c>
      <c r="V93" s="84" t="str">
        <f t="shared" ca="1" si="11"/>
        <v/>
      </c>
    </row>
    <row r="94" spans="2:22" x14ac:dyDescent="0.25">
      <c r="B94" s="68" t="str">
        <f ca="1">IFERROR(INDEX('Points Lookup'!$A:$A,MATCH($AA96,'Points Lookup'!$AN:$AN,0)),"")</f>
        <v/>
      </c>
      <c r="C94" s="81" t="str">
        <f ca="1">IF(B94="","",IF($B$2="Apprenticeship",SUMIF('Points Lookup'!$AJ:$AJ,B94,'Points Lookup'!$AL:$AL),IF(AND(OR($B$2="New Consultant Contract"),$B94&lt;&gt;""),INDEX('Points Lookup'!$T:$T,MATCH($B94,'Points Lookup'!$S:$S,0)),IF(AND(OR($B$2="Clinical Lecturer / Medical Research Fellow",$B$2="Clinical Consultant - Old Contract (GP)"),$B94&lt;&gt;""),INDEX('Points Lookup'!$Q:$Q,MATCH($B94,'Points Lookup'!$P:$P,0)),IF(AND(OR($B$2="APM Level 7",$B$2="R&amp;T Level 7",$B$2="APM Level 8",$B$2="Technical Services Level 7"),B94&lt;&gt;""),INDEX('Points Lookup'!$H:$H,MATCH($AA94,'Points Lookup'!$AN:$AN,0)),IF($B$2="R&amp;T Level 5 - Clinical Lecturers (Vet School)",SUMIF('Points Lookup'!$V:$V,$B94,'Points Lookup'!$Y:$Y),IF($B$2="R&amp;T Level 6 - Clinical Associate Professors and Clinical Readers (Vet School)",SUMIF('Points Lookup'!$AC:$AC,$B94,'Points Lookup'!$AF:$AF),IFERROR(INDEX('Points Lookup'!$B:$B,MATCH($AA94,'Points Lookup'!$AN:$AN,0)),""))))))))</f>
        <v/>
      </c>
      <c r="D94" s="81"/>
      <c r="E94" s="81"/>
      <c r="F94" s="81" t="str">
        <f ca="1">IF($B94="","",IF(AND($B$2="Salary Points 3 to 57",B94&lt;Thresholds_Rates!$C$16),"-",IF(SUMIF(Grades!$A:$A,$B$2,Grades!$BO:$BO)=0,"-",IF(AND($B$2="Salary Points 3 to 57",B94&gt;=Thresholds_Rates!$C$16),$C94*Thresholds_Rates!$F$15,IF(AND(OR($B$2="New Consultant Contract"),$B94&lt;&gt;""),$C94*Thresholds_Rates!$F$15,IF(AND(OR($B$2="Clinical Lecturer / Medical Research Fellow",$B$2="Clinical Consultant - Old Contract (GP)"),$B94&lt;&gt;""),$C94*Thresholds_Rates!$F$15,IF(OR($B$2="APM Level 7",$B$2="R&amp;T Level 7"),$C94*Thresholds_Rates!$F$15,IF(SUMIF(Grades!$A:$A,$B$2,Grades!$BO:$BO)=1,$C94*Thresholds_Rates!$F$15,""))))))))</f>
        <v/>
      </c>
      <c r="G94" s="81" t="str">
        <f ca="1">IF(B94="","",IF($B$2="Salary Points 1 to 57","-",IF(SUMIF(Grades!$A:$A,$B$2,Grades!$BP:$BP)=0,"-",IF(AND(OR($B$2="New Consultant Contract"),$B94&lt;&gt;""),$C94*Thresholds_Rates!$F$16,IF(AND(OR($B$2="Clinical Lecturer / Medical Research Fellow",$B$2="Clinical Consultant - Old Contract (GP)"),$B94&lt;&gt;""),$C94*Thresholds_Rates!$F$16,IF(AND(OR($B$2="APM Level 7",$B$2="R&amp;T Level 7"),F94&lt;&gt;""),$C94*Thresholds_Rates!$F$16,IF(SUMIF(Grades!$A:$A,$B$2,Grades!$BP:$BP)=1,$C94*Thresholds_Rates!$F$16,"")))))))</f>
        <v/>
      </c>
      <c r="H94" s="81" t="str">
        <f ca="1">IF(B94="","",IF(SUMIF(Grades!$A:$A,$B$2,Grades!$BQ:$BQ)=0,"-",IF(AND($B$2="Salary Points 1 to 57",B94&gt;Thresholds_Rates!$C$17),"-",IF(AND($B$2="Salary Points 1 to 57",B94&lt;=Thresholds_Rates!$C$17),$C94*Thresholds_Rates!$F$17,IF(AND(OR($B$2="New Consultant Contract"),$B94&lt;&gt;""),$C94*Thresholds_Rates!$F$17,IF(AND(OR($B$2="Clinical Lecturer / Medical Research Fellow",$B$2="Clinical Consultant - Old Contract (GP)"),$B94&lt;&gt;""),$C94*Thresholds_Rates!$F$17,IF(AND(OR($B$2="APM Level 7",$B$2="R&amp;T Level 7"),G94&lt;&gt;""),$C94*Thresholds_Rates!$F$17,IF(SUMIF(Grades!$A:$A,$B$2,Grades!$BQ:$BQ)=1,$C94*Thresholds_Rates!$F$17,""))))))))</f>
        <v/>
      </c>
      <c r="I94" s="81" t="str">
        <f ca="1">IF($B94="","",ROUND(($C94-(Thresholds_Rates!$C$5*12))*Thresholds_Rates!$C$10,0))</f>
        <v/>
      </c>
      <c r="J94" s="81" t="str">
        <f ca="1">IF(B94="","",(C94*Thresholds_Rates!$C$12))</f>
        <v/>
      </c>
      <c r="K94" s="81" t="str">
        <f ca="1">IF(B94="","",IF(AND($B$2="Salary Points 1 to 57",B94&gt;Thresholds_Rates!$C$17),"-",IF(SUMIF(Grades!$A:$A,$B$2,Grades!$BR:$BR)=0,"-",IF(AND($B$2="Salary Points 1 to 57",B94&lt;=Thresholds_Rates!$C$17),$C94*Thresholds_Rates!$F$18,IF(AND(OR($B$2="New Consultant Contract"),$B94&lt;&gt;""),$C94*Thresholds_Rates!$F$18,IF(AND(OR($B$2="Clinical Lecturer / Medical Research Fellow",$B$2="Clinical Consultant - Old Contract (GP)"),$B94&lt;&gt;""),$C94*Thresholds_Rates!$F$18,IF(AND(OR($B$2="APM Level 7",$B$2="R&amp;T Level 7"),I94&lt;&gt;""),$C94*Thresholds_Rates!$F$18,IF(SUMIF(Grades!$A:$A,$B$2,Grades!$BQ:$BQ)=1,$C94*Thresholds_Rates!$F$18,""))))))))</f>
        <v/>
      </c>
      <c r="L94" s="68"/>
      <c r="M94" s="81" t="str">
        <f t="shared" ca="1" si="6"/>
        <v/>
      </c>
      <c r="N94" s="81" t="str">
        <f t="shared" ca="1" si="7"/>
        <v/>
      </c>
      <c r="O94" s="81" t="str">
        <f t="shared" ca="1" si="8"/>
        <v/>
      </c>
      <c r="P94" s="81" t="str">
        <f t="shared" ca="1" si="9"/>
        <v/>
      </c>
      <c r="Q94" s="81" t="str">
        <f t="shared" ca="1" si="10"/>
        <v/>
      </c>
      <c r="S94" s="83" t="str">
        <f ca="1">IF(B94="","",IF($B$2="R&amp;T Level 5 - Clinical Lecturers (Vet School)",SUMIF('Points Lookup'!$V:$V,$B94,'Points Lookup'!$W:$W),IF($B$2="R&amp;T Level 6 - Clinical Associate Professors and Clinical Readers (Vet School)",SUMIF('Points Lookup'!$AC:$AC,$B94,'Points Lookup'!$AD:$AD),"")))</f>
        <v/>
      </c>
      <c r="T94" s="84" t="str">
        <f ca="1">IF(B94="","",IF($B$2="R&amp;T Level 5 - Clinical Lecturers (Vet School)",$C94-SUMIF('Points Lookup'!$V:$V,$B94,'Points Lookup'!$X:$X),IF($B$2="R&amp;T Level 6 - Clinical Associate Professors and Clinical Readers (Vet School)",$C94-SUMIF('Points Lookup'!$AC:$AC,$B94,'Points Lookup'!$AE:$AE),"")))</f>
        <v/>
      </c>
      <c r="U94" s="83" t="str">
        <f ca="1">IF(B94="","",IF($B$2="R&amp;T Level 5 - Clinical Lecturers (Vet School)",SUMIF('Points Lookup'!$V:$V,$B94,'Points Lookup'!$Z:$Z),IF($B$2="R&amp;T Level 6 - Clinical Associate Professors and Clinical Readers (Vet School)",SUMIF('Points Lookup'!$AC:$AC,$B94,'Points Lookup'!$AG:$AG),"")))</f>
        <v/>
      </c>
      <c r="V94" s="84" t="str">
        <f t="shared" ca="1" si="11"/>
        <v/>
      </c>
    </row>
    <row r="95" spans="2:22" x14ac:dyDescent="0.25">
      <c r="B95" s="68" t="str">
        <f ca="1">IFERROR(INDEX('Points Lookup'!$A:$A,MATCH($AA97,'Points Lookup'!$AN:$AN,0)),"")</f>
        <v/>
      </c>
      <c r="C95" s="81" t="str">
        <f ca="1">IF(B95="","",IF($B$2="Apprenticeship",SUMIF('Points Lookup'!$AJ:$AJ,B95,'Points Lookup'!$AL:$AL),IF(AND(OR($B$2="New Consultant Contract"),$B95&lt;&gt;""),INDEX('Points Lookup'!$T:$T,MATCH($B95,'Points Lookup'!$S:$S,0)),IF(AND(OR($B$2="Clinical Lecturer / Medical Research Fellow",$B$2="Clinical Consultant - Old Contract (GP)"),$B95&lt;&gt;""),INDEX('Points Lookup'!$Q:$Q,MATCH($B95,'Points Lookup'!$P:$P,0)),IF(AND(OR($B$2="APM Level 7",$B$2="R&amp;T Level 7",$B$2="APM Level 8",$B$2="Technical Services Level 7"),B95&lt;&gt;""),INDEX('Points Lookup'!$H:$H,MATCH($AA95,'Points Lookup'!$AN:$AN,0)),IF($B$2="R&amp;T Level 5 - Clinical Lecturers (Vet School)",SUMIF('Points Lookup'!$V:$V,$B95,'Points Lookup'!$Y:$Y),IF($B$2="R&amp;T Level 6 - Clinical Associate Professors and Clinical Readers (Vet School)",SUMIF('Points Lookup'!$AC:$AC,$B95,'Points Lookup'!$AF:$AF),IFERROR(INDEX('Points Lookup'!$B:$B,MATCH($AA95,'Points Lookup'!$AN:$AN,0)),""))))))))</f>
        <v/>
      </c>
      <c r="D95" s="81"/>
      <c r="E95" s="81"/>
      <c r="F95" s="81" t="str">
        <f ca="1">IF($B95="","",IF(AND($B$2="Salary Points 3 to 57",B95&lt;Thresholds_Rates!$C$16),"-",IF(SUMIF(Grades!$A:$A,$B$2,Grades!$BO:$BO)=0,"-",IF(AND($B$2="Salary Points 3 to 57",B95&gt;=Thresholds_Rates!$C$16),$C95*Thresholds_Rates!$F$15,IF(AND(OR($B$2="New Consultant Contract"),$B95&lt;&gt;""),$C95*Thresholds_Rates!$F$15,IF(AND(OR($B$2="Clinical Lecturer / Medical Research Fellow",$B$2="Clinical Consultant - Old Contract (GP)"),$B95&lt;&gt;""),$C95*Thresholds_Rates!$F$15,IF(OR($B$2="APM Level 7",$B$2="R&amp;T Level 7"),$C95*Thresholds_Rates!$F$15,IF(SUMIF(Grades!$A:$A,$B$2,Grades!$BO:$BO)=1,$C95*Thresholds_Rates!$F$15,""))))))))</f>
        <v/>
      </c>
      <c r="G95" s="81" t="str">
        <f ca="1">IF(B95="","",IF($B$2="Salary Points 1 to 57","-",IF(SUMIF(Grades!$A:$A,$B$2,Grades!$BP:$BP)=0,"-",IF(AND(OR($B$2="New Consultant Contract"),$B95&lt;&gt;""),$C95*Thresholds_Rates!$F$16,IF(AND(OR($B$2="Clinical Lecturer / Medical Research Fellow",$B$2="Clinical Consultant - Old Contract (GP)"),$B95&lt;&gt;""),$C95*Thresholds_Rates!$F$16,IF(AND(OR($B$2="APM Level 7",$B$2="R&amp;T Level 7"),F95&lt;&gt;""),$C95*Thresholds_Rates!$F$16,IF(SUMIF(Grades!$A:$A,$B$2,Grades!$BP:$BP)=1,$C95*Thresholds_Rates!$F$16,"")))))))</f>
        <v/>
      </c>
      <c r="H95" s="81" t="str">
        <f ca="1">IF(B95="","",IF(SUMIF(Grades!$A:$A,$B$2,Grades!$BQ:$BQ)=0,"-",IF(AND($B$2="Salary Points 1 to 57",B95&gt;Thresholds_Rates!$C$17),"-",IF(AND($B$2="Salary Points 1 to 57",B95&lt;=Thresholds_Rates!$C$17),$C95*Thresholds_Rates!$F$17,IF(AND(OR($B$2="New Consultant Contract"),$B95&lt;&gt;""),$C95*Thresholds_Rates!$F$17,IF(AND(OR($B$2="Clinical Lecturer / Medical Research Fellow",$B$2="Clinical Consultant - Old Contract (GP)"),$B95&lt;&gt;""),$C95*Thresholds_Rates!$F$17,IF(AND(OR($B$2="APM Level 7",$B$2="R&amp;T Level 7"),G95&lt;&gt;""),$C95*Thresholds_Rates!$F$17,IF(SUMIF(Grades!$A:$A,$B$2,Grades!$BQ:$BQ)=1,$C95*Thresholds_Rates!$F$17,""))))))))</f>
        <v/>
      </c>
      <c r="I95" s="81" t="str">
        <f ca="1">IF($B95="","",ROUND(($C95-(Thresholds_Rates!$C$5*12))*Thresholds_Rates!$C$10,0))</f>
        <v/>
      </c>
      <c r="J95" s="81" t="str">
        <f ca="1">IF(B95="","",(C95*Thresholds_Rates!$C$12))</f>
        <v/>
      </c>
      <c r="K95" s="81" t="str">
        <f ca="1">IF(B95="","",IF(AND($B$2="Salary Points 1 to 57",B95&gt;Thresholds_Rates!$C$17),"-",IF(SUMIF(Grades!$A:$A,$B$2,Grades!$BR:$BR)=0,"-",IF(AND($B$2="Salary Points 1 to 57",B95&lt;=Thresholds_Rates!$C$17),$C95*Thresholds_Rates!$F$18,IF(AND(OR($B$2="New Consultant Contract"),$B95&lt;&gt;""),$C95*Thresholds_Rates!$F$18,IF(AND(OR($B$2="Clinical Lecturer / Medical Research Fellow",$B$2="Clinical Consultant - Old Contract (GP)"),$B95&lt;&gt;""),$C95*Thresholds_Rates!$F$18,IF(AND(OR($B$2="APM Level 7",$B$2="R&amp;T Level 7"),I95&lt;&gt;""),$C95*Thresholds_Rates!$F$18,IF(SUMIF(Grades!$A:$A,$B$2,Grades!$BQ:$BQ)=1,$C95*Thresholds_Rates!$F$18,""))))))))</f>
        <v/>
      </c>
      <c r="L95" s="68"/>
      <c r="M95" s="81" t="str">
        <f t="shared" ca="1" si="6"/>
        <v/>
      </c>
      <c r="N95" s="81" t="str">
        <f t="shared" ca="1" si="7"/>
        <v/>
      </c>
      <c r="O95" s="81" t="str">
        <f t="shared" ca="1" si="8"/>
        <v/>
      </c>
      <c r="P95" s="81" t="str">
        <f t="shared" ca="1" si="9"/>
        <v/>
      </c>
      <c r="Q95" s="81" t="str">
        <f t="shared" ca="1" si="10"/>
        <v/>
      </c>
      <c r="S95" s="83" t="str">
        <f ca="1">IF(B95="","",IF($B$2="R&amp;T Level 5 - Clinical Lecturers (Vet School)",SUMIF('Points Lookup'!$V:$V,$B95,'Points Lookup'!$W:$W),IF($B$2="R&amp;T Level 6 - Clinical Associate Professors and Clinical Readers (Vet School)",SUMIF('Points Lookup'!$AC:$AC,$B95,'Points Lookup'!$AD:$AD),"")))</f>
        <v/>
      </c>
      <c r="T95" s="84" t="str">
        <f ca="1">IF(B95="","",IF($B$2="R&amp;T Level 5 - Clinical Lecturers (Vet School)",$C95-SUMIF('Points Lookup'!$V:$V,$B95,'Points Lookup'!$X:$X),IF($B$2="R&amp;T Level 6 - Clinical Associate Professors and Clinical Readers (Vet School)",$C95-SUMIF('Points Lookup'!$AC:$AC,$B95,'Points Lookup'!$AE:$AE),"")))</f>
        <v/>
      </c>
      <c r="U95" s="83" t="str">
        <f ca="1">IF(B95="","",IF($B$2="R&amp;T Level 5 - Clinical Lecturers (Vet School)",SUMIF('Points Lookup'!$V:$V,$B95,'Points Lookup'!$Z:$Z),IF($B$2="R&amp;T Level 6 - Clinical Associate Professors and Clinical Readers (Vet School)",SUMIF('Points Lookup'!$AC:$AC,$B95,'Points Lookup'!$AG:$AG),"")))</f>
        <v/>
      </c>
      <c r="V95" s="84" t="str">
        <f t="shared" ca="1" si="11"/>
        <v/>
      </c>
    </row>
    <row r="96" spans="2:22" x14ac:dyDescent="0.25">
      <c r="B96" s="68" t="str">
        <f ca="1">IFERROR(INDEX('Points Lookup'!$A:$A,MATCH($AA98,'Points Lookup'!$AN:$AN,0)),"")</f>
        <v/>
      </c>
      <c r="C96" s="81" t="str">
        <f ca="1">IF(B96="","",IF($B$2="Apprenticeship",SUMIF('Points Lookup'!$AJ:$AJ,B96,'Points Lookup'!$AL:$AL),IF(AND(OR($B$2="New Consultant Contract"),$B96&lt;&gt;""),INDEX('Points Lookup'!$T:$T,MATCH($B96,'Points Lookup'!$S:$S,0)),IF(AND(OR($B$2="Clinical Lecturer / Medical Research Fellow",$B$2="Clinical Consultant - Old Contract (GP)"),$B96&lt;&gt;""),INDEX('Points Lookup'!$Q:$Q,MATCH($B96,'Points Lookup'!$P:$P,0)),IF(AND(OR($B$2="APM Level 7",$B$2="R&amp;T Level 7",$B$2="APM Level 8",$B$2="Technical Services Level 7"),B96&lt;&gt;""),INDEX('Points Lookup'!$H:$H,MATCH($AA96,'Points Lookup'!$AN:$AN,0)),IF($B$2="R&amp;T Level 5 - Clinical Lecturers (Vet School)",SUMIF('Points Lookup'!$V:$V,$B96,'Points Lookup'!$Y:$Y),IF($B$2="R&amp;T Level 6 - Clinical Associate Professors and Clinical Readers (Vet School)",SUMIF('Points Lookup'!$AC:$AC,$B96,'Points Lookup'!$AF:$AF),IFERROR(INDEX('Points Lookup'!$B:$B,MATCH($AA96,'Points Lookup'!$AN:$AN,0)),""))))))))</f>
        <v/>
      </c>
      <c r="D96" s="81"/>
      <c r="E96" s="81"/>
      <c r="F96" s="81" t="str">
        <f ca="1">IF($B96="","",IF(AND($B$2="Salary Points 3 to 57",B96&lt;Thresholds_Rates!$C$16),"-",IF(SUMIF(Grades!$A:$A,$B$2,Grades!$BO:$BO)=0,"-",IF(AND($B$2="Salary Points 3 to 57",B96&gt;=Thresholds_Rates!$C$16),$C96*Thresholds_Rates!$F$15,IF(AND(OR($B$2="New Consultant Contract"),$B96&lt;&gt;""),$C96*Thresholds_Rates!$F$15,IF(AND(OR($B$2="Clinical Lecturer / Medical Research Fellow",$B$2="Clinical Consultant - Old Contract (GP)"),$B96&lt;&gt;""),$C96*Thresholds_Rates!$F$15,IF(OR($B$2="APM Level 7",$B$2="R&amp;T Level 7"),$C96*Thresholds_Rates!$F$15,IF(SUMIF(Grades!$A:$A,$B$2,Grades!$BO:$BO)=1,$C96*Thresholds_Rates!$F$15,""))))))))</f>
        <v/>
      </c>
      <c r="G96" s="81" t="str">
        <f ca="1">IF(B96="","",IF($B$2="Salary Points 1 to 57","-",IF(SUMIF(Grades!$A:$A,$B$2,Grades!$BP:$BP)=0,"-",IF(AND(OR($B$2="New Consultant Contract"),$B96&lt;&gt;""),$C96*Thresholds_Rates!$F$16,IF(AND(OR($B$2="Clinical Lecturer / Medical Research Fellow",$B$2="Clinical Consultant - Old Contract (GP)"),$B96&lt;&gt;""),$C96*Thresholds_Rates!$F$16,IF(AND(OR($B$2="APM Level 7",$B$2="R&amp;T Level 7"),F96&lt;&gt;""),$C96*Thresholds_Rates!$F$16,IF(SUMIF(Grades!$A:$A,$B$2,Grades!$BP:$BP)=1,$C96*Thresholds_Rates!$F$16,"")))))))</f>
        <v/>
      </c>
      <c r="H96" s="81" t="str">
        <f ca="1">IF(B96="","",IF(SUMIF(Grades!$A:$A,$B$2,Grades!$BQ:$BQ)=0,"-",IF(AND($B$2="Salary Points 1 to 57",B96&gt;Thresholds_Rates!$C$17),"-",IF(AND($B$2="Salary Points 1 to 57",B96&lt;=Thresholds_Rates!$C$17),$C96*Thresholds_Rates!$F$17,IF(AND(OR($B$2="New Consultant Contract"),$B96&lt;&gt;""),$C96*Thresholds_Rates!$F$17,IF(AND(OR($B$2="Clinical Lecturer / Medical Research Fellow",$B$2="Clinical Consultant - Old Contract (GP)"),$B96&lt;&gt;""),$C96*Thresholds_Rates!$F$17,IF(AND(OR($B$2="APM Level 7",$B$2="R&amp;T Level 7"),G96&lt;&gt;""),$C96*Thresholds_Rates!$F$17,IF(SUMIF(Grades!$A:$A,$B$2,Grades!$BQ:$BQ)=1,$C96*Thresholds_Rates!$F$17,""))))))))</f>
        <v/>
      </c>
      <c r="I96" s="81" t="str">
        <f ca="1">IF($B96="","",ROUND(($C96-(Thresholds_Rates!$C$5*12))*Thresholds_Rates!$C$10,0))</f>
        <v/>
      </c>
      <c r="J96" s="81" t="str">
        <f ca="1">IF(B96="","",(C96*Thresholds_Rates!$C$12))</f>
        <v/>
      </c>
      <c r="K96" s="81" t="str">
        <f ca="1">IF(B96="","",IF(AND($B$2="Salary Points 1 to 57",B96&gt;Thresholds_Rates!$C$17),"-",IF(SUMIF(Grades!$A:$A,$B$2,Grades!$BR:$BR)=0,"-",IF(AND($B$2="Salary Points 1 to 57",B96&lt;=Thresholds_Rates!$C$17),$C96*Thresholds_Rates!$F$18,IF(AND(OR($B$2="New Consultant Contract"),$B96&lt;&gt;""),$C96*Thresholds_Rates!$F$18,IF(AND(OR($B$2="Clinical Lecturer / Medical Research Fellow",$B$2="Clinical Consultant - Old Contract (GP)"),$B96&lt;&gt;""),$C96*Thresholds_Rates!$F$18,IF(AND(OR($B$2="APM Level 7",$B$2="R&amp;T Level 7"),I96&lt;&gt;""),$C96*Thresholds_Rates!$F$18,IF(SUMIF(Grades!$A:$A,$B$2,Grades!$BQ:$BQ)=1,$C96*Thresholds_Rates!$F$18,""))))))))</f>
        <v/>
      </c>
      <c r="L96" s="68"/>
      <c r="M96" s="81" t="str">
        <f t="shared" ca="1" si="6"/>
        <v/>
      </c>
      <c r="N96" s="81" t="str">
        <f t="shared" ca="1" si="7"/>
        <v/>
      </c>
      <c r="O96" s="81" t="str">
        <f t="shared" ca="1" si="8"/>
        <v/>
      </c>
      <c r="P96" s="81" t="str">
        <f t="shared" ca="1" si="9"/>
        <v/>
      </c>
      <c r="Q96" s="81" t="str">
        <f t="shared" ca="1" si="10"/>
        <v/>
      </c>
      <c r="S96" s="83" t="str">
        <f ca="1">IF(B96="","",IF($B$2="R&amp;T Level 5 - Clinical Lecturers (Vet School)",SUMIF('Points Lookup'!$V:$V,$B96,'Points Lookup'!$W:$W),IF($B$2="R&amp;T Level 6 - Clinical Associate Professors and Clinical Readers (Vet School)",SUMIF('Points Lookup'!$AC:$AC,$B96,'Points Lookup'!$AD:$AD),"")))</f>
        <v/>
      </c>
      <c r="T96" s="84" t="str">
        <f ca="1">IF(B96="","",IF($B$2="R&amp;T Level 5 - Clinical Lecturers (Vet School)",$C96-SUMIF('Points Lookup'!$V:$V,$B96,'Points Lookup'!$X:$X),IF($B$2="R&amp;T Level 6 - Clinical Associate Professors and Clinical Readers (Vet School)",$C96-SUMIF('Points Lookup'!$AC:$AC,$B96,'Points Lookup'!$AE:$AE),"")))</f>
        <v/>
      </c>
      <c r="U96" s="83" t="str">
        <f ca="1">IF(B96="","",IF($B$2="R&amp;T Level 5 - Clinical Lecturers (Vet School)",SUMIF('Points Lookup'!$V:$V,$B96,'Points Lookup'!$Z:$Z),IF($B$2="R&amp;T Level 6 - Clinical Associate Professors and Clinical Readers (Vet School)",SUMIF('Points Lookup'!$AC:$AC,$B96,'Points Lookup'!$AG:$AG),"")))</f>
        <v/>
      </c>
      <c r="V96" s="84" t="str">
        <f t="shared" ca="1" si="11"/>
        <v/>
      </c>
    </row>
    <row r="97" spans="2:22" x14ac:dyDescent="0.25">
      <c r="B97" s="68" t="str">
        <f ca="1">IFERROR(INDEX('Points Lookup'!$A:$A,MATCH($AA99,'Points Lookup'!$AN:$AN,0)),"")</f>
        <v/>
      </c>
      <c r="C97" s="81" t="str">
        <f ca="1">IF(B97="","",IF($B$2="Apprenticeship",SUMIF('Points Lookup'!$AJ:$AJ,B97,'Points Lookup'!$AL:$AL),IF(AND(OR($B$2="New Consultant Contract"),$B97&lt;&gt;""),INDEX('Points Lookup'!$T:$T,MATCH($B97,'Points Lookup'!$S:$S,0)),IF(AND(OR($B$2="Clinical Lecturer / Medical Research Fellow",$B$2="Clinical Consultant - Old Contract (GP)"),$B97&lt;&gt;""),INDEX('Points Lookup'!$Q:$Q,MATCH($B97,'Points Lookup'!$P:$P,0)),IF(AND(OR($B$2="APM Level 7",$B$2="R&amp;T Level 7",$B$2="APM Level 8",$B$2="Technical Services Level 7"),B97&lt;&gt;""),INDEX('Points Lookup'!$H:$H,MATCH($AA97,'Points Lookup'!$AN:$AN,0)),IF($B$2="R&amp;T Level 5 - Clinical Lecturers (Vet School)",SUMIF('Points Lookup'!$V:$V,$B97,'Points Lookup'!$Y:$Y),IF($B$2="R&amp;T Level 6 - Clinical Associate Professors and Clinical Readers (Vet School)",SUMIF('Points Lookup'!$AC:$AC,$B97,'Points Lookup'!$AF:$AF),IFERROR(INDEX('Points Lookup'!$B:$B,MATCH($AA97,'Points Lookup'!$AN:$AN,0)),""))))))))</f>
        <v/>
      </c>
      <c r="D97" s="81"/>
      <c r="E97" s="81"/>
      <c r="F97" s="81" t="str">
        <f ca="1">IF($B97="","",IF(AND($B$2="Salary Points 3 to 57",B97&lt;Thresholds_Rates!$C$16),"-",IF(SUMIF(Grades!$A:$A,$B$2,Grades!$BO:$BO)=0,"-",IF(AND($B$2="Salary Points 3 to 57",B97&gt;=Thresholds_Rates!$C$16),$C97*Thresholds_Rates!$F$15,IF(AND(OR($B$2="New Consultant Contract"),$B97&lt;&gt;""),$C97*Thresholds_Rates!$F$15,IF(AND(OR($B$2="Clinical Lecturer / Medical Research Fellow",$B$2="Clinical Consultant - Old Contract (GP)"),$B97&lt;&gt;""),$C97*Thresholds_Rates!$F$15,IF(OR($B$2="APM Level 7",$B$2="R&amp;T Level 7"),$C97*Thresholds_Rates!$F$15,IF(SUMIF(Grades!$A:$A,$B$2,Grades!$BO:$BO)=1,$C97*Thresholds_Rates!$F$15,""))))))))</f>
        <v/>
      </c>
      <c r="G97" s="81" t="str">
        <f ca="1">IF(B97="","",IF($B$2="Salary Points 1 to 57","-",IF(SUMIF(Grades!$A:$A,$B$2,Grades!$BP:$BP)=0,"-",IF(AND(OR($B$2="New Consultant Contract"),$B97&lt;&gt;""),$C97*Thresholds_Rates!$F$16,IF(AND(OR($B$2="Clinical Lecturer / Medical Research Fellow",$B$2="Clinical Consultant - Old Contract (GP)"),$B97&lt;&gt;""),$C97*Thresholds_Rates!$F$16,IF(AND(OR($B$2="APM Level 7",$B$2="R&amp;T Level 7"),F97&lt;&gt;""),$C97*Thresholds_Rates!$F$16,IF(SUMIF(Grades!$A:$A,$B$2,Grades!$BP:$BP)=1,$C97*Thresholds_Rates!$F$16,"")))))))</f>
        <v/>
      </c>
      <c r="H97" s="81" t="str">
        <f ca="1">IF(B97="","",IF(SUMIF(Grades!$A:$A,$B$2,Grades!$BQ:$BQ)=0,"-",IF(AND($B$2="Salary Points 1 to 57",B97&gt;Thresholds_Rates!$C$17),"-",IF(AND($B$2="Salary Points 1 to 57",B97&lt;=Thresholds_Rates!$C$17),$C97*Thresholds_Rates!$F$17,IF(AND(OR($B$2="New Consultant Contract"),$B97&lt;&gt;""),$C97*Thresholds_Rates!$F$17,IF(AND(OR($B$2="Clinical Lecturer / Medical Research Fellow",$B$2="Clinical Consultant - Old Contract (GP)"),$B97&lt;&gt;""),$C97*Thresholds_Rates!$F$17,IF(AND(OR($B$2="APM Level 7",$B$2="R&amp;T Level 7"),G97&lt;&gt;""),$C97*Thresholds_Rates!$F$17,IF(SUMIF(Grades!$A:$A,$B$2,Grades!$BQ:$BQ)=1,$C97*Thresholds_Rates!$F$17,""))))))))</f>
        <v/>
      </c>
      <c r="I97" s="81" t="str">
        <f ca="1">IF($B97="","",ROUND(($C97-(Thresholds_Rates!$C$5*12))*Thresholds_Rates!$C$10,0))</f>
        <v/>
      </c>
      <c r="J97" s="81" t="str">
        <f ca="1">IF(B97="","",(C97*Thresholds_Rates!$C$12))</f>
        <v/>
      </c>
      <c r="K97" s="81" t="str">
        <f ca="1">IF(B97="","",IF(AND($B$2="Salary Points 1 to 57",B97&gt;Thresholds_Rates!$C$17),"-",IF(SUMIF(Grades!$A:$A,$B$2,Grades!$BR:$BR)=0,"-",IF(AND($B$2="Salary Points 1 to 57",B97&lt;=Thresholds_Rates!$C$17),$C97*Thresholds_Rates!$F$18,IF(AND(OR($B$2="New Consultant Contract"),$B97&lt;&gt;""),$C97*Thresholds_Rates!$F$18,IF(AND(OR($B$2="Clinical Lecturer / Medical Research Fellow",$B$2="Clinical Consultant - Old Contract (GP)"),$B97&lt;&gt;""),$C97*Thresholds_Rates!$F$18,IF(AND(OR($B$2="APM Level 7",$B$2="R&amp;T Level 7"),I97&lt;&gt;""),$C97*Thresholds_Rates!$F$18,IF(SUMIF(Grades!$A:$A,$B$2,Grades!$BQ:$BQ)=1,$C97*Thresholds_Rates!$F$18,""))))))))</f>
        <v/>
      </c>
      <c r="L97" s="68"/>
      <c r="M97" s="81" t="str">
        <f t="shared" ca="1" si="6"/>
        <v/>
      </c>
      <c r="N97" s="81" t="str">
        <f t="shared" ca="1" si="7"/>
        <v/>
      </c>
      <c r="O97" s="81" t="str">
        <f t="shared" ca="1" si="8"/>
        <v/>
      </c>
      <c r="P97" s="81" t="str">
        <f t="shared" ca="1" si="9"/>
        <v/>
      </c>
      <c r="Q97" s="81" t="str">
        <f t="shared" ca="1" si="10"/>
        <v/>
      </c>
      <c r="S97" s="83" t="str">
        <f ca="1">IF(B97="","",IF($B$2="R&amp;T Level 5 - Clinical Lecturers (Vet School)",SUMIF('Points Lookup'!$V:$V,$B97,'Points Lookup'!$W:$W),IF($B$2="R&amp;T Level 6 - Clinical Associate Professors and Clinical Readers (Vet School)",SUMIF('Points Lookup'!$AC:$AC,$B97,'Points Lookup'!$AD:$AD),"")))</f>
        <v/>
      </c>
      <c r="T97" s="84" t="str">
        <f ca="1">IF(B97="","",IF($B$2="R&amp;T Level 5 - Clinical Lecturers (Vet School)",$C97-SUMIF('Points Lookup'!$V:$V,$B97,'Points Lookup'!$X:$X),IF($B$2="R&amp;T Level 6 - Clinical Associate Professors and Clinical Readers (Vet School)",$C97-SUMIF('Points Lookup'!$AC:$AC,$B97,'Points Lookup'!$AE:$AE),"")))</f>
        <v/>
      </c>
      <c r="U97" s="83" t="str">
        <f ca="1">IF(B97="","",IF($B$2="R&amp;T Level 5 - Clinical Lecturers (Vet School)",SUMIF('Points Lookup'!$V:$V,$B97,'Points Lookup'!$Z:$Z),IF($B$2="R&amp;T Level 6 - Clinical Associate Professors and Clinical Readers (Vet School)",SUMIF('Points Lookup'!$AC:$AC,$B97,'Points Lookup'!$AG:$AG),"")))</f>
        <v/>
      </c>
      <c r="V97" s="84" t="str">
        <f t="shared" ca="1" si="11"/>
        <v/>
      </c>
    </row>
    <row r="98" spans="2:22" x14ac:dyDescent="0.25">
      <c r="B98" s="68" t="str">
        <f ca="1">IFERROR(INDEX('Points Lookup'!$A:$A,MATCH($AA100,'Points Lookup'!$AN:$AN,0)),"")</f>
        <v/>
      </c>
      <c r="C98" s="81" t="str">
        <f ca="1">IF(B98="","",IF($B$2="Apprenticeship",SUMIF('Points Lookup'!$AJ:$AJ,B98,'Points Lookup'!$AL:$AL),IF(AND(OR($B$2="New Consultant Contract"),$B98&lt;&gt;""),INDEX('Points Lookup'!$T:$T,MATCH($B98,'Points Lookup'!$S:$S,0)),IF(AND(OR($B$2="Clinical Lecturer / Medical Research Fellow",$B$2="Clinical Consultant - Old Contract (GP)"),$B98&lt;&gt;""),INDEX('Points Lookup'!$Q:$Q,MATCH($B98,'Points Lookup'!$P:$P,0)),IF(AND(OR($B$2="APM Level 7",$B$2="R&amp;T Level 7",$B$2="APM Level 8",$B$2="Technical Services Level 7"),B98&lt;&gt;""),INDEX('Points Lookup'!$H:$H,MATCH($AA98,'Points Lookup'!$AN:$AN,0)),IF($B$2="R&amp;T Level 5 - Clinical Lecturers (Vet School)",SUMIF('Points Lookup'!$V:$V,$B98,'Points Lookup'!$Y:$Y),IF($B$2="R&amp;T Level 6 - Clinical Associate Professors and Clinical Readers (Vet School)",SUMIF('Points Lookup'!$AC:$AC,$B98,'Points Lookup'!$AF:$AF),IFERROR(INDEX('Points Lookup'!$B:$B,MATCH($AA98,'Points Lookup'!$AN:$AN,0)),""))))))))</f>
        <v/>
      </c>
      <c r="D98" s="81"/>
      <c r="E98" s="81"/>
      <c r="F98" s="81" t="str">
        <f ca="1">IF($B98="","",IF(AND($B$2="Salary Points 3 to 57",B98&lt;Thresholds_Rates!$C$16),"-",IF(SUMIF(Grades!$A:$A,$B$2,Grades!$BO:$BO)=0,"-",IF(AND($B$2="Salary Points 3 to 57",B98&gt;=Thresholds_Rates!$C$16),$C98*Thresholds_Rates!$F$15,IF(AND(OR($B$2="New Consultant Contract"),$B98&lt;&gt;""),$C98*Thresholds_Rates!$F$15,IF(AND(OR($B$2="Clinical Lecturer / Medical Research Fellow",$B$2="Clinical Consultant - Old Contract (GP)"),$B98&lt;&gt;""),$C98*Thresholds_Rates!$F$15,IF(OR($B$2="APM Level 7",$B$2="R&amp;T Level 7"),$C98*Thresholds_Rates!$F$15,IF(SUMIF(Grades!$A:$A,$B$2,Grades!$BO:$BO)=1,$C98*Thresholds_Rates!$F$15,""))))))))</f>
        <v/>
      </c>
      <c r="G98" s="81" t="str">
        <f ca="1">IF(B98="","",IF($B$2="Salary Points 1 to 57","-",IF(SUMIF(Grades!$A:$A,$B$2,Grades!$BP:$BP)=0,"-",IF(AND(OR($B$2="New Consultant Contract"),$B98&lt;&gt;""),$C98*Thresholds_Rates!$F$16,IF(AND(OR($B$2="Clinical Lecturer / Medical Research Fellow",$B$2="Clinical Consultant - Old Contract (GP)"),$B98&lt;&gt;""),$C98*Thresholds_Rates!$F$16,IF(AND(OR($B$2="APM Level 7",$B$2="R&amp;T Level 7"),F98&lt;&gt;""),$C98*Thresholds_Rates!$F$16,IF(SUMIF(Grades!$A:$A,$B$2,Grades!$BP:$BP)=1,$C98*Thresholds_Rates!$F$16,"")))))))</f>
        <v/>
      </c>
      <c r="H98" s="81" t="str">
        <f ca="1">IF(B98="","",IF(SUMIF(Grades!$A:$A,$B$2,Grades!$BQ:$BQ)=0,"-",IF(AND($B$2="Salary Points 1 to 57",B98&gt;Thresholds_Rates!$C$17),"-",IF(AND($B$2="Salary Points 1 to 57",B98&lt;=Thresholds_Rates!$C$17),$C98*Thresholds_Rates!$F$17,IF(AND(OR($B$2="New Consultant Contract"),$B98&lt;&gt;""),$C98*Thresholds_Rates!$F$17,IF(AND(OR($B$2="Clinical Lecturer / Medical Research Fellow",$B$2="Clinical Consultant - Old Contract (GP)"),$B98&lt;&gt;""),$C98*Thresholds_Rates!$F$17,IF(AND(OR($B$2="APM Level 7",$B$2="R&amp;T Level 7"),G98&lt;&gt;""),$C98*Thresholds_Rates!$F$17,IF(SUMIF(Grades!$A:$A,$B$2,Grades!$BQ:$BQ)=1,$C98*Thresholds_Rates!$F$17,""))))))))</f>
        <v/>
      </c>
      <c r="I98" s="81" t="str">
        <f ca="1">IF($B98="","",ROUND(($C98-(Thresholds_Rates!$C$5*12))*Thresholds_Rates!$C$10,0))</f>
        <v/>
      </c>
      <c r="J98" s="81" t="str">
        <f ca="1">IF(B98="","",(C98*Thresholds_Rates!$C$12))</f>
        <v/>
      </c>
      <c r="K98" s="81" t="str">
        <f ca="1">IF(B98="","",IF(AND($B$2="Salary Points 1 to 57",B98&gt;Thresholds_Rates!$C$17),"-",IF(SUMIF(Grades!$A:$A,$B$2,Grades!$BR:$BR)=0,"-",IF(AND($B$2="Salary Points 1 to 57",B98&lt;=Thresholds_Rates!$C$17),$C98*Thresholds_Rates!$F$18,IF(AND(OR($B$2="New Consultant Contract"),$B98&lt;&gt;""),$C98*Thresholds_Rates!$F$18,IF(AND(OR($B$2="Clinical Lecturer / Medical Research Fellow",$B$2="Clinical Consultant - Old Contract (GP)"),$B98&lt;&gt;""),$C98*Thresholds_Rates!$F$18,IF(AND(OR($B$2="APM Level 7",$B$2="R&amp;T Level 7"),I98&lt;&gt;""),$C98*Thresholds_Rates!$F$18,IF(SUMIF(Grades!$A:$A,$B$2,Grades!$BQ:$BQ)=1,$C98*Thresholds_Rates!$F$18,""))))))))</f>
        <v/>
      </c>
      <c r="L98" s="68"/>
      <c r="M98" s="81" t="str">
        <f t="shared" ca="1" si="6"/>
        <v/>
      </c>
      <c r="N98" s="81" t="str">
        <f t="shared" ca="1" si="7"/>
        <v/>
      </c>
      <c r="O98" s="81" t="str">
        <f t="shared" ca="1" si="8"/>
        <v/>
      </c>
      <c r="P98" s="81" t="str">
        <f t="shared" ca="1" si="9"/>
        <v/>
      </c>
      <c r="Q98" s="81" t="str">
        <f t="shared" ca="1" si="10"/>
        <v/>
      </c>
      <c r="S98" s="83" t="str">
        <f ca="1">IF(B98="","",IF($B$2="R&amp;T Level 5 - Clinical Lecturers (Vet School)",SUMIF('Points Lookup'!$V:$V,$B98,'Points Lookup'!$W:$W),IF($B$2="R&amp;T Level 6 - Clinical Associate Professors and Clinical Readers (Vet School)",SUMIF('Points Lookup'!$AC:$AC,$B98,'Points Lookup'!$AD:$AD),"")))</f>
        <v/>
      </c>
      <c r="T98" s="84" t="str">
        <f ca="1">IF(B98="","",IF($B$2="R&amp;T Level 5 - Clinical Lecturers (Vet School)",$C98-SUMIF('Points Lookup'!$V:$V,$B98,'Points Lookup'!$X:$X),IF($B$2="R&amp;T Level 6 - Clinical Associate Professors and Clinical Readers (Vet School)",$C98-SUMIF('Points Lookup'!$AC:$AC,$B98,'Points Lookup'!$AE:$AE),"")))</f>
        <v/>
      </c>
      <c r="U98" s="83" t="str">
        <f ca="1">IF(B98="","",IF($B$2="R&amp;T Level 5 - Clinical Lecturers (Vet School)",SUMIF('Points Lookup'!$V:$V,$B98,'Points Lookup'!$Z:$Z),IF($B$2="R&amp;T Level 6 - Clinical Associate Professors and Clinical Readers (Vet School)",SUMIF('Points Lookup'!$AC:$AC,$B98,'Points Lookup'!$AG:$AG),"")))</f>
        <v/>
      </c>
      <c r="V98" s="84" t="str">
        <f t="shared" ca="1" si="11"/>
        <v/>
      </c>
    </row>
    <row r="99" spans="2:22" x14ac:dyDescent="0.25">
      <c r="B99" s="68" t="str">
        <f ca="1">IFERROR(INDEX('Points Lookup'!$A:$A,MATCH($AA101,'Points Lookup'!$AN:$AN,0)),"")</f>
        <v/>
      </c>
      <c r="C99" s="81" t="str">
        <f ca="1">IF(B99="","",IF($B$2="Apprenticeship",SUMIF('Points Lookup'!$AJ:$AJ,B99,'Points Lookup'!$AL:$AL),IF(AND(OR($B$2="New Consultant Contract"),$B99&lt;&gt;""),INDEX('Points Lookup'!$T:$T,MATCH($B99,'Points Lookup'!$S:$S,0)),IF(AND(OR($B$2="Clinical Lecturer / Medical Research Fellow",$B$2="Clinical Consultant - Old Contract (GP)"),$B99&lt;&gt;""),INDEX('Points Lookup'!$Q:$Q,MATCH($B99,'Points Lookup'!$P:$P,0)),IF(AND(OR($B$2="APM Level 7",$B$2="R&amp;T Level 7",$B$2="APM Level 8",$B$2="Technical Services Level 7"),B99&lt;&gt;""),INDEX('Points Lookup'!$H:$H,MATCH($AA99,'Points Lookup'!$AN:$AN,0)),IF($B$2="R&amp;T Level 5 - Clinical Lecturers (Vet School)",SUMIF('Points Lookup'!$V:$V,$B99,'Points Lookup'!$Y:$Y),IF($B$2="R&amp;T Level 6 - Clinical Associate Professors and Clinical Readers (Vet School)",SUMIF('Points Lookup'!$AC:$AC,$B99,'Points Lookup'!$AF:$AF),IFERROR(INDEX('Points Lookup'!$B:$B,MATCH($AA99,'Points Lookup'!$AN:$AN,0)),""))))))))</f>
        <v/>
      </c>
      <c r="D99" s="81"/>
      <c r="E99" s="81"/>
      <c r="F99" s="81" t="str">
        <f ca="1">IF($B99="","",IF(AND($B$2="Salary Points 3 to 57",B99&lt;Thresholds_Rates!$C$16),"-",IF(SUMIF(Grades!$A:$A,$B$2,Grades!$BO:$BO)=0,"-",IF(AND($B$2="Salary Points 3 to 57",B99&gt;=Thresholds_Rates!$C$16),$C99*Thresholds_Rates!$F$15,IF(AND(OR($B$2="New Consultant Contract"),$B99&lt;&gt;""),$C99*Thresholds_Rates!$F$15,IF(AND(OR($B$2="Clinical Lecturer / Medical Research Fellow",$B$2="Clinical Consultant - Old Contract (GP)"),$B99&lt;&gt;""),$C99*Thresholds_Rates!$F$15,IF(OR($B$2="APM Level 7",$B$2="R&amp;T Level 7"),$C99*Thresholds_Rates!$F$15,IF(SUMIF(Grades!$A:$A,$B$2,Grades!$BO:$BO)=1,$C99*Thresholds_Rates!$F$15,""))))))))</f>
        <v/>
      </c>
      <c r="G99" s="81" t="str">
        <f ca="1">IF(B99="","",IF($B$2="Salary Points 1 to 57","-",IF(SUMIF(Grades!$A:$A,$B$2,Grades!$BP:$BP)=0,"-",IF(AND(OR($B$2="New Consultant Contract"),$B99&lt;&gt;""),$C99*Thresholds_Rates!$F$16,IF(AND(OR($B$2="Clinical Lecturer / Medical Research Fellow",$B$2="Clinical Consultant - Old Contract (GP)"),$B99&lt;&gt;""),$C99*Thresholds_Rates!$F$16,IF(AND(OR($B$2="APM Level 7",$B$2="R&amp;T Level 7"),F99&lt;&gt;""),$C99*Thresholds_Rates!$F$16,IF(SUMIF(Grades!$A:$A,$B$2,Grades!$BP:$BP)=1,$C99*Thresholds_Rates!$F$16,"")))))))</f>
        <v/>
      </c>
      <c r="H99" s="81" t="str">
        <f ca="1">IF(B99="","",IF(SUMIF(Grades!$A:$A,$B$2,Grades!$BQ:$BQ)=0,"-",IF(AND($B$2="Salary Points 1 to 57",B99&gt;Thresholds_Rates!$C$17),"-",IF(AND($B$2="Salary Points 1 to 57",B99&lt;=Thresholds_Rates!$C$17),$C99*Thresholds_Rates!$F$17,IF(AND(OR($B$2="New Consultant Contract"),$B99&lt;&gt;""),$C99*Thresholds_Rates!$F$17,IF(AND(OR($B$2="Clinical Lecturer / Medical Research Fellow",$B$2="Clinical Consultant - Old Contract (GP)"),$B99&lt;&gt;""),$C99*Thresholds_Rates!$F$17,IF(AND(OR($B$2="APM Level 7",$B$2="R&amp;T Level 7"),G99&lt;&gt;""),$C99*Thresholds_Rates!$F$17,IF(SUMIF(Grades!$A:$A,$B$2,Grades!$BQ:$BQ)=1,$C99*Thresholds_Rates!$F$17,""))))))))</f>
        <v/>
      </c>
      <c r="I99" s="81" t="str">
        <f ca="1">IF($B99="","",ROUND(($C99-(Thresholds_Rates!$C$5*12))*Thresholds_Rates!$C$10,0))</f>
        <v/>
      </c>
      <c r="J99" s="81" t="str">
        <f ca="1">IF(B99="","",(C99*Thresholds_Rates!$C$12))</f>
        <v/>
      </c>
      <c r="K99" s="81" t="str">
        <f ca="1">IF(B99="","",IF(AND($B$2="Salary Points 1 to 57",B99&gt;Thresholds_Rates!$C$17),"-",IF(SUMIF(Grades!$A:$A,$B$2,Grades!$BR:$BR)=0,"-",IF(AND($B$2="Salary Points 1 to 57",B99&lt;=Thresholds_Rates!$C$17),$C99*Thresholds_Rates!$F$18,IF(AND(OR($B$2="New Consultant Contract"),$B99&lt;&gt;""),$C99*Thresholds_Rates!$F$18,IF(AND(OR($B$2="Clinical Lecturer / Medical Research Fellow",$B$2="Clinical Consultant - Old Contract (GP)"),$B99&lt;&gt;""),$C99*Thresholds_Rates!$F$18,IF(AND(OR($B$2="APM Level 7",$B$2="R&amp;T Level 7"),I99&lt;&gt;""),$C99*Thresholds_Rates!$F$18,IF(SUMIF(Grades!$A:$A,$B$2,Grades!$BQ:$BQ)=1,$C99*Thresholds_Rates!$F$18,""))))))))</f>
        <v/>
      </c>
      <c r="L99" s="68"/>
      <c r="M99" s="81" t="str">
        <f t="shared" ca="1" si="6"/>
        <v/>
      </c>
      <c r="N99" s="81" t="str">
        <f t="shared" ca="1" si="7"/>
        <v/>
      </c>
      <c r="O99" s="81" t="str">
        <f t="shared" ca="1" si="8"/>
        <v/>
      </c>
      <c r="P99" s="81" t="str">
        <f t="shared" ca="1" si="9"/>
        <v/>
      </c>
      <c r="Q99" s="81" t="str">
        <f t="shared" ca="1" si="10"/>
        <v/>
      </c>
      <c r="S99" s="83" t="str">
        <f ca="1">IF(B99="","",IF($B$2="R&amp;T Level 5 - Clinical Lecturers (Vet School)",SUMIF('Points Lookup'!$V:$V,$B99,'Points Lookup'!$W:$W),IF($B$2="R&amp;T Level 6 - Clinical Associate Professors and Clinical Readers (Vet School)",SUMIF('Points Lookup'!$AC:$AC,$B99,'Points Lookup'!$AD:$AD),"")))</f>
        <v/>
      </c>
      <c r="T99" s="84" t="str">
        <f ca="1">IF(B99="","",IF($B$2="R&amp;T Level 5 - Clinical Lecturers (Vet School)",$C99-SUMIF('Points Lookup'!$V:$V,$B99,'Points Lookup'!$X:$X),IF($B$2="R&amp;T Level 6 - Clinical Associate Professors and Clinical Readers (Vet School)",$C99-SUMIF('Points Lookup'!$AC:$AC,$B99,'Points Lookup'!$AE:$AE),"")))</f>
        <v/>
      </c>
      <c r="U99" s="83" t="str">
        <f ca="1">IF(B99="","",IF($B$2="R&amp;T Level 5 - Clinical Lecturers (Vet School)",SUMIF('Points Lookup'!$V:$V,$B99,'Points Lookup'!$Z:$Z),IF($B$2="R&amp;T Level 6 - Clinical Associate Professors and Clinical Readers (Vet School)",SUMIF('Points Lookup'!$AC:$AC,$B99,'Points Lookup'!$AG:$AG),"")))</f>
        <v/>
      </c>
      <c r="V99" s="84" t="str">
        <f t="shared" ca="1" si="11"/>
        <v/>
      </c>
    </row>
    <row r="100" spans="2:22" x14ac:dyDescent="0.25">
      <c r="B100" s="68" t="str">
        <f ca="1">IFERROR(INDEX('Points Lookup'!$A:$A,MATCH($AA102,'Points Lookup'!$AN:$AN,0)),"")</f>
        <v/>
      </c>
      <c r="C100" s="81" t="str">
        <f ca="1">IF(B100="","",IF($B$2="Apprenticeship",SUMIF('Points Lookup'!$AJ:$AJ,B100,'Points Lookup'!$AL:$AL),IF(AND(OR($B$2="New Consultant Contract"),$B100&lt;&gt;""),INDEX('Points Lookup'!$T:$T,MATCH($B100,'Points Lookup'!$S:$S,0)),IF(AND(OR($B$2="Clinical Lecturer / Medical Research Fellow",$B$2="Clinical Consultant - Old Contract (GP)"),$B100&lt;&gt;""),INDEX('Points Lookup'!$Q:$Q,MATCH($B100,'Points Lookup'!$P:$P,0)),IF(AND(OR($B$2="APM Level 7",$B$2="R&amp;T Level 7",$B$2="APM Level 8",$B$2="Technical Services Level 7"),B100&lt;&gt;""),INDEX('Points Lookup'!$H:$H,MATCH($AA100,'Points Lookup'!$AN:$AN,0)),IF($B$2="R&amp;T Level 5 - Clinical Lecturers (Vet School)",SUMIF('Points Lookup'!$V:$V,$B100,'Points Lookup'!$Y:$Y),IF($B$2="R&amp;T Level 6 - Clinical Associate Professors and Clinical Readers (Vet School)",SUMIF('Points Lookup'!$AC:$AC,$B100,'Points Lookup'!$AF:$AF),IFERROR(INDEX('Points Lookup'!$B:$B,MATCH($AA100,'Points Lookup'!$AN:$AN,0)),""))))))))</f>
        <v/>
      </c>
      <c r="D100" s="81"/>
      <c r="E100" s="81"/>
      <c r="F100" s="81" t="str">
        <f ca="1">IF($B100="","",IF(AND($B$2="Salary Points 3 to 57",B100&lt;Thresholds_Rates!$C$16),"-",IF(SUMIF(Grades!$A:$A,$B$2,Grades!$BO:$BO)=0,"-",IF(AND($B$2="Salary Points 3 to 57",B100&gt;=Thresholds_Rates!$C$16),$C100*Thresholds_Rates!$F$15,IF(AND(OR($B$2="New Consultant Contract"),$B100&lt;&gt;""),$C100*Thresholds_Rates!$F$15,IF(AND(OR($B$2="Clinical Lecturer / Medical Research Fellow",$B$2="Clinical Consultant - Old Contract (GP)"),$B100&lt;&gt;""),$C100*Thresholds_Rates!$F$15,IF(OR($B$2="APM Level 7",$B$2="R&amp;T Level 7"),$C100*Thresholds_Rates!$F$15,IF(SUMIF(Grades!$A:$A,$B$2,Grades!$BO:$BO)=1,$C100*Thresholds_Rates!$F$15,""))))))))</f>
        <v/>
      </c>
      <c r="G100" s="81" t="str">
        <f ca="1">IF(B100="","",IF($B$2="Salary Points 1 to 57","-",IF(SUMIF(Grades!$A:$A,$B$2,Grades!$BP:$BP)=0,"-",IF(AND(OR($B$2="New Consultant Contract"),$B100&lt;&gt;""),$C100*Thresholds_Rates!$F$16,IF(AND(OR($B$2="Clinical Lecturer / Medical Research Fellow",$B$2="Clinical Consultant - Old Contract (GP)"),$B100&lt;&gt;""),$C100*Thresholds_Rates!$F$16,IF(AND(OR($B$2="APM Level 7",$B$2="R&amp;T Level 7"),F100&lt;&gt;""),$C100*Thresholds_Rates!$F$16,IF(SUMIF(Grades!$A:$A,$B$2,Grades!$BP:$BP)=1,$C100*Thresholds_Rates!$F$16,"")))))))</f>
        <v/>
      </c>
      <c r="H100" s="81" t="str">
        <f ca="1">IF(B100="","",IF(SUMIF(Grades!$A:$A,$B$2,Grades!$BQ:$BQ)=0,"-",IF(AND($B$2="Salary Points 1 to 57",B100&gt;Thresholds_Rates!$C$17),"-",IF(AND($B$2="Salary Points 1 to 57",B100&lt;=Thresholds_Rates!$C$17),$C100*Thresholds_Rates!$F$17,IF(AND(OR($B$2="New Consultant Contract"),$B100&lt;&gt;""),$C100*Thresholds_Rates!$F$17,IF(AND(OR($B$2="Clinical Lecturer / Medical Research Fellow",$B$2="Clinical Consultant - Old Contract (GP)"),$B100&lt;&gt;""),$C100*Thresholds_Rates!$F$17,IF(AND(OR($B$2="APM Level 7",$B$2="R&amp;T Level 7"),G100&lt;&gt;""),$C100*Thresholds_Rates!$F$17,IF(SUMIF(Grades!$A:$A,$B$2,Grades!$BQ:$BQ)=1,$C100*Thresholds_Rates!$F$17,""))))))))</f>
        <v/>
      </c>
      <c r="I100" s="81" t="str">
        <f ca="1">IF($B100="","",ROUND(($C100-(Thresholds_Rates!$C$5*12))*Thresholds_Rates!$C$10,0))</f>
        <v/>
      </c>
      <c r="J100" s="81" t="str">
        <f ca="1">IF(B100="","",(C100*Thresholds_Rates!$C$12))</f>
        <v/>
      </c>
      <c r="K100" s="81" t="str">
        <f ca="1">IF(B100="","",IF(AND($B$2="Salary Points 1 to 57",B100&gt;Thresholds_Rates!$C$17),"-",IF(SUMIF(Grades!$A:$A,$B$2,Grades!$BR:$BR)=0,"-",IF(AND($B$2="Salary Points 1 to 57",B100&lt;=Thresholds_Rates!$C$17),$C100*Thresholds_Rates!$F$18,IF(AND(OR($B$2="New Consultant Contract"),$B100&lt;&gt;""),$C100*Thresholds_Rates!$F$18,IF(AND(OR($B$2="Clinical Lecturer / Medical Research Fellow",$B$2="Clinical Consultant - Old Contract (GP)"),$B100&lt;&gt;""),$C100*Thresholds_Rates!$F$18,IF(AND(OR($B$2="APM Level 7",$B$2="R&amp;T Level 7"),I100&lt;&gt;""),$C100*Thresholds_Rates!$F$18,IF(SUMIF(Grades!$A:$A,$B$2,Grades!$BQ:$BQ)=1,$C100*Thresholds_Rates!$F$18,""))))))))</f>
        <v/>
      </c>
      <c r="L100" s="68"/>
      <c r="M100" s="81" t="str">
        <f t="shared" ca="1" si="6"/>
        <v/>
      </c>
      <c r="N100" s="81" t="str">
        <f t="shared" ca="1" si="7"/>
        <v/>
      </c>
      <c r="O100" s="81" t="str">
        <f t="shared" ca="1" si="8"/>
        <v/>
      </c>
      <c r="P100" s="81" t="str">
        <f t="shared" ca="1" si="9"/>
        <v/>
      </c>
      <c r="Q100" s="81" t="str">
        <f t="shared" ca="1" si="10"/>
        <v/>
      </c>
      <c r="S100" s="83" t="str">
        <f ca="1">IF(B100="","",IF($B$2="R&amp;T Level 5 - Clinical Lecturers (Vet School)",SUMIF('Points Lookup'!$V:$V,$B100,'Points Lookup'!$W:$W),IF($B$2="R&amp;T Level 6 - Clinical Associate Professors and Clinical Readers (Vet School)",SUMIF('Points Lookup'!$AC:$AC,$B100,'Points Lookup'!$AD:$AD),"")))</f>
        <v/>
      </c>
      <c r="T100" s="84" t="str">
        <f ca="1">IF(B100="","",IF($B$2="R&amp;T Level 5 - Clinical Lecturers (Vet School)",$C100-SUMIF('Points Lookup'!$V:$V,$B100,'Points Lookup'!$X:$X),IF($B$2="R&amp;T Level 6 - Clinical Associate Professors and Clinical Readers (Vet School)",$C100-SUMIF('Points Lookup'!$AC:$AC,$B100,'Points Lookup'!$AE:$AE),"")))</f>
        <v/>
      </c>
      <c r="U100" s="83" t="str">
        <f ca="1">IF(B100="","",IF($B$2="R&amp;T Level 5 - Clinical Lecturers (Vet School)",SUMIF('Points Lookup'!$V:$V,$B100,'Points Lookup'!$Z:$Z),IF($B$2="R&amp;T Level 6 - Clinical Associate Professors and Clinical Readers (Vet School)",SUMIF('Points Lookup'!$AC:$AC,$B100,'Points Lookup'!$AG:$AG),"")))</f>
        <v/>
      </c>
      <c r="V100" s="84" t="str">
        <f t="shared" ca="1" si="11"/>
        <v/>
      </c>
    </row>
    <row r="101" spans="2:22" x14ac:dyDescent="0.25">
      <c r="B101" s="68" t="str">
        <f ca="1">IFERROR(INDEX('Points Lookup'!$A:$A,MATCH($AA103,'Points Lookup'!$AN:$AN,0)),"")</f>
        <v/>
      </c>
      <c r="C101" s="81" t="str">
        <f ca="1">IF(B101="","",IF($B$2="Apprenticeship",SUMIF('Points Lookup'!$AJ:$AJ,B101,'Points Lookup'!$AL:$AL),IF(AND(OR($B$2="New Consultant Contract"),$B101&lt;&gt;""),INDEX('Points Lookup'!$T:$T,MATCH($B101,'Points Lookup'!$S:$S,0)),IF(AND(OR($B$2="Clinical Lecturer / Medical Research Fellow",$B$2="Clinical Consultant - Old Contract (GP)"),$B101&lt;&gt;""),INDEX('Points Lookup'!$Q:$Q,MATCH($B101,'Points Lookup'!$P:$P,0)),IF(AND(OR($B$2="APM Level 7",$B$2="R&amp;T Level 7",$B$2="APM Level 8",$B$2="Technical Services Level 7"),B101&lt;&gt;""),INDEX('Points Lookup'!$H:$H,MATCH($AA101,'Points Lookup'!$AN:$AN,0)),IF($B$2="R&amp;T Level 5 - Clinical Lecturers (Vet School)",SUMIF('Points Lookup'!$V:$V,$B101,'Points Lookup'!$Y:$Y),IF($B$2="R&amp;T Level 6 - Clinical Associate Professors and Clinical Readers (Vet School)",SUMIF('Points Lookup'!$AC:$AC,$B101,'Points Lookup'!$AF:$AF),IFERROR(INDEX('Points Lookup'!$B:$B,MATCH($AA101,'Points Lookup'!$AN:$AN,0)),""))))))))</f>
        <v/>
      </c>
      <c r="D101" s="81"/>
      <c r="E101" s="81"/>
      <c r="F101" s="81" t="str">
        <f ca="1">IF($B101="","",IF(AND($B$2="Salary Points 3 to 57",B101&lt;Thresholds_Rates!$C$16),"-",IF(SUMIF(Grades!$A:$A,$B$2,Grades!$BO:$BO)=0,"-",IF(AND($B$2="Salary Points 3 to 57",B101&gt;=Thresholds_Rates!$C$16),$C101*Thresholds_Rates!$F$15,IF(AND(OR($B$2="New Consultant Contract"),$B101&lt;&gt;""),$C101*Thresholds_Rates!$F$15,IF(AND(OR($B$2="Clinical Lecturer / Medical Research Fellow",$B$2="Clinical Consultant - Old Contract (GP)"),$B101&lt;&gt;""),$C101*Thresholds_Rates!$F$15,IF(OR($B$2="APM Level 7",$B$2="R&amp;T Level 7"),$C101*Thresholds_Rates!$F$15,IF(SUMIF(Grades!$A:$A,$B$2,Grades!$BO:$BO)=1,$C101*Thresholds_Rates!$F$15,""))))))))</f>
        <v/>
      </c>
      <c r="G101" s="81" t="str">
        <f ca="1">IF(B101="","",IF($B$2="Salary Points 1 to 57","-",IF(SUMIF(Grades!$A:$A,$B$2,Grades!$BP:$BP)=0,"-",IF(AND(OR($B$2="New Consultant Contract"),$B101&lt;&gt;""),$C101*Thresholds_Rates!$F$16,IF(AND(OR($B$2="Clinical Lecturer / Medical Research Fellow",$B$2="Clinical Consultant - Old Contract (GP)"),$B101&lt;&gt;""),$C101*Thresholds_Rates!$F$16,IF(AND(OR($B$2="APM Level 7",$B$2="R&amp;T Level 7"),F101&lt;&gt;""),$C101*Thresholds_Rates!$F$16,IF(SUMIF(Grades!$A:$A,$B$2,Grades!$BP:$BP)=1,$C101*Thresholds_Rates!$F$16,"")))))))</f>
        <v/>
      </c>
      <c r="H101" s="81" t="str">
        <f ca="1">IF(B101="","",IF(SUMIF(Grades!$A:$A,$B$2,Grades!$BQ:$BQ)=0,"-",IF(AND($B$2="Salary Points 1 to 57",B101&gt;Thresholds_Rates!$C$17),"-",IF(AND($B$2="Salary Points 1 to 57",B101&lt;=Thresholds_Rates!$C$17),$C101*Thresholds_Rates!$F$17,IF(AND(OR($B$2="New Consultant Contract"),$B101&lt;&gt;""),$C101*Thresholds_Rates!$F$17,IF(AND(OR($B$2="Clinical Lecturer / Medical Research Fellow",$B$2="Clinical Consultant - Old Contract (GP)"),$B101&lt;&gt;""),$C101*Thresholds_Rates!$F$17,IF(AND(OR($B$2="APM Level 7",$B$2="R&amp;T Level 7"),G101&lt;&gt;""),$C101*Thresholds_Rates!$F$17,IF(SUMIF(Grades!$A:$A,$B$2,Grades!$BQ:$BQ)=1,$C101*Thresholds_Rates!$F$17,""))))))))</f>
        <v/>
      </c>
      <c r="I101" s="81" t="str">
        <f ca="1">IF($B101="","",ROUND(($C101-(Thresholds_Rates!$C$5*12))*Thresholds_Rates!$C$10,0))</f>
        <v/>
      </c>
      <c r="J101" s="81" t="str">
        <f ca="1">IF(B101="","",(C101*Thresholds_Rates!$C$12))</f>
        <v/>
      </c>
      <c r="K101" s="81" t="str">
        <f ca="1">IF(B101="","",IF(AND($B$2="Salary Points 1 to 57",B101&gt;Thresholds_Rates!$C$17),"-",IF(SUMIF(Grades!$A:$A,$B$2,Grades!$BR:$BR)=0,"-",IF(AND($B$2="Salary Points 1 to 57",B101&lt;=Thresholds_Rates!$C$17),$C101*Thresholds_Rates!$F$18,IF(AND(OR($B$2="New Consultant Contract"),$B101&lt;&gt;""),$C101*Thresholds_Rates!$F$18,IF(AND(OR($B$2="Clinical Lecturer / Medical Research Fellow",$B$2="Clinical Consultant - Old Contract (GP)"),$B101&lt;&gt;""),$C101*Thresholds_Rates!$F$18,IF(AND(OR($B$2="APM Level 7",$B$2="R&amp;T Level 7"),I101&lt;&gt;""),$C101*Thresholds_Rates!$F$18,IF(SUMIF(Grades!$A:$A,$B$2,Grades!$BQ:$BQ)=1,$C101*Thresholds_Rates!$F$18,""))))))))</f>
        <v/>
      </c>
      <c r="L101" s="68"/>
      <c r="M101" s="81" t="str">
        <f t="shared" ca="1" si="6"/>
        <v/>
      </c>
      <c r="N101" s="81" t="str">
        <f t="shared" ca="1" si="7"/>
        <v/>
      </c>
      <c r="O101" s="81" t="str">
        <f t="shared" ca="1" si="8"/>
        <v/>
      </c>
      <c r="P101" s="81" t="str">
        <f t="shared" ca="1" si="9"/>
        <v/>
      </c>
      <c r="Q101" s="81" t="str">
        <f t="shared" ca="1" si="10"/>
        <v/>
      </c>
      <c r="S101" s="83" t="str">
        <f ca="1">IF(B101="","",IF($B$2="R&amp;T Level 5 - Clinical Lecturers (Vet School)",SUMIF('Points Lookup'!$V:$V,$B101,'Points Lookup'!$W:$W),IF($B$2="R&amp;T Level 6 - Clinical Associate Professors and Clinical Readers (Vet School)",SUMIF('Points Lookup'!$AC:$AC,$B101,'Points Lookup'!$AD:$AD),"")))</f>
        <v/>
      </c>
      <c r="T101" s="84" t="str">
        <f ca="1">IF(B101="","",IF($B$2="R&amp;T Level 5 - Clinical Lecturers (Vet School)",$C101-SUMIF('Points Lookup'!$V:$V,$B101,'Points Lookup'!$X:$X),IF($B$2="R&amp;T Level 6 - Clinical Associate Professors and Clinical Readers (Vet School)",$C101-SUMIF('Points Lookup'!$AC:$AC,$B101,'Points Lookup'!$AE:$AE),"")))</f>
        <v/>
      </c>
      <c r="U101" s="83" t="str">
        <f ca="1">IF(B101="","",IF($B$2="R&amp;T Level 5 - Clinical Lecturers (Vet School)",SUMIF('Points Lookup'!$V:$V,$B101,'Points Lookup'!$Z:$Z),IF($B$2="R&amp;T Level 6 - Clinical Associate Professors and Clinical Readers (Vet School)",SUMIF('Points Lookup'!$AC:$AC,$B101,'Points Lookup'!$AG:$AG),"")))</f>
        <v/>
      </c>
      <c r="V101" s="84" t="str">
        <f t="shared" ca="1" si="11"/>
        <v/>
      </c>
    </row>
    <row r="102" spans="2:22" x14ac:dyDescent="0.25">
      <c r="B102" s="68" t="str">
        <f ca="1">IFERROR(INDEX('Points Lookup'!$A:$A,MATCH($AA104,'Points Lookup'!$AN:$AN,0)),"")</f>
        <v/>
      </c>
      <c r="C102" s="81" t="str">
        <f ca="1">IF(B102="","",IF($B$2="Apprenticeship",SUMIF('Points Lookup'!$AJ:$AJ,B102,'Points Lookup'!$AL:$AL),IF(AND(OR($B$2="New Consultant Contract"),$B102&lt;&gt;""),INDEX('Points Lookup'!$T:$T,MATCH($B102,'Points Lookup'!$S:$S,0)),IF(AND(OR($B$2="Clinical Lecturer / Medical Research Fellow",$B$2="Clinical Consultant - Old Contract (GP)"),$B102&lt;&gt;""),INDEX('Points Lookup'!$Q:$Q,MATCH($B102,'Points Lookup'!$P:$P,0)),IF(AND(OR($B$2="APM Level 7",$B$2="R&amp;T Level 7",$B$2="APM Level 8",$B$2="Technical Services Level 7"),B102&lt;&gt;""),INDEX('Points Lookup'!$H:$H,MATCH($AA102,'Points Lookup'!$AN:$AN,0)),IF($B$2="R&amp;T Level 5 - Clinical Lecturers (Vet School)",SUMIF('Points Lookup'!$V:$V,$B102,'Points Lookup'!$Y:$Y),IF($B$2="R&amp;T Level 6 - Clinical Associate Professors and Clinical Readers (Vet School)",SUMIF('Points Lookup'!$AC:$AC,$B102,'Points Lookup'!$AF:$AF),IFERROR(INDEX('Points Lookup'!$B:$B,MATCH($AA102,'Points Lookup'!$AN:$AN,0)),""))))))))</f>
        <v/>
      </c>
      <c r="D102" s="81"/>
      <c r="E102" s="81"/>
      <c r="F102" s="81" t="str">
        <f ca="1">IF($B102="","",IF(AND($B$2="Salary Points 3 to 57",B102&lt;Thresholds_Rates!$C$16),"-",IF(SUMIF(Grades!$A:$A,$B$2,Grades!$BO:$BO)=0,"-",IF(AND($B$2="Salary Points 3 to 57",B102&gt;=Thresholds_Rates!$C$16),$C102*Thresholds_Rates!$F$15,IF(AND(OR($B$2="New Consultant Contract"),$B102&lt;&gt;""),$C102*Thresholds_Rates!$F$15,IF(AND(OR($B$2="Clinical Lecturer / Medical Research Fellow",$B$2="Clinical Consultant - Old Contract (GP)"),$B102&lt;&gt;""),$C102*Thresholds_Rates!$F$15,IF(OR($B$2="APM Level 7",$B$2="R&amp;T Level 7"),$C102*Thresholds_Rates!$F$15,IF(SUMIF(Grades!$A:$A,$B$2,Grades!$BO:$BO)=1,$C102*Thresholds_Rates!$F$15,""))))))))</f>
        <v/>
      </c>
      <c r="G102" s="81" t="str">
        <f ca="1">IF(B102="","",IF($B$2="Salary Points 1 to 57","-",IF(SUMIF(Grades!$A:$A,$B$2,Grades!$BP:$BP)=0,"-",IF(AND(OR($B$2="New Consultant Contract"),$B102&lt;&gt;""),$C102*Thresholds_Rates!$F$16,IF(AND(OR($B$2="Clinical Lecturer / Medical Research Fellow",$B$2="Clinical Consultant - Old Contract (GP)"),$B102&lt;&gt;""),$C102*Thresholds_Rates!$F$16,IF(AND(OR($B$2="APM Level 7",$B$2="R&amp;T Level 7"),F102&lt;&gt;""),$C102*Thresholds_Rates!$F$16,IF(SUMIF(Grades!$A:$A,$B$2,Grades!$BP:$BP)=1,$C102*Thresholds_Rates!$F$16,"")))))))</f>
        <v/>
      </c>
      <c r="H102" s="81" t="str">
        <f ca="1">IF(B102="","",IF(SUMIF(Grades!$A:$A,$B$2,Grades!$BQ:$BQ)=0,"-",IF(AND($B$2="Salary Points 1 to 57",B102&gt;Thresholds_Rates!$C$17),"-",IF(AND($B$2="Salary Points 1 to 57",B102&lt;=Thresholds_Rates!$C$17),$C102*Thresholds_Rates!$F$17,IF(AND(OR($B$2="New Consultant Contract"),$B102&lt;&gt;""),$C102*Thresholds_Rates!$F$17,IF(AND(OR($B$2="Clinical Lecturer / Medical Research Fellow",$B$2="Clinical Consultant - Old Contract (GP)"),$B102&lt;&gt;""),$C102*Thresholds_Rates!$F$17,IF(AND(OR($B$2="APM Level 7",$B$2="R&amp;T Level 7"),G102&lt;&gt;""),$C102*Thresholds_Rates!$F$17,IF(SUMIF(Grades!$A:$A,$B$2,Grades!$BQ:$BQ)=1,$C102*Thresholds_Rates!$F$17,""))))))))</f>
        <v/>
      </c>
      <c r="I102" s="81"/>
      <c r="J102" s="81" t="str">
        <f ca="1">IF(B102="","",(C102*Thresholds_Rates!$C$12))</f>
        <v/>
      </c>
      <c r="K102" s="81"/>
      <c r="L102" s="68"/>
      <c r="M102" s="81" t="str">
        <f t="shared" ca="1" si="6"/>
        <v/>
      </c>
      <c r="N102" s="81" t="str">
        <f t="shared" ca="1" si="7"/>
        <v/>
      </c>
      <c r="O102" s="81" t="str">
        <f t="shared" ca="1" si="8"/>
        <v/>
      </c>
      <c r="P102" s="81" t="str">
        <f t="shared" ca="1" si="9"/>
        <v/>
      </c>
      <c r="Q102" s="81" t="str">
        <f t="shared" ca="1" si="10"/>
        <v/>
      </c>
      <c r="S102" s="83"/>
      <c r="T102" s="84"/>
      <c r="U102" s="83"/>
      <c r="V102" s="84"/>
    </row>
    <row r="103" spans="2:22" x14ac:dyDescent="0.25">
      <c r="B103" s="68" t="str">
        <f ca="1">IFERROR(INDEX('Points Lookup'!$A:$A,MATCH($AA105,'Points Lookup'!$AN:$AN,0)),"")</f>
        <v/>
      </c>
      <c r="C103" s="81" t="str">
        <f ca="1">IF(B103="","",IF($B$2="Apprenticeship",SUMIF('Points Lookup'!$AJ:$AJ,B103,'Points Lookup'!$AL:$AL),IF(AND(OR($B$2="New Consultant Contract"),$B103&lt;&gt;""),INDEX('Points Lookup'!$T:$T,MATCH($B103,'Points Lookup'!$S:$S,0)),IF(AND(OR($B$2="Clinical Lecturer / Medical Research Fellow",$B$2="Clinical Consultant - Old Contract (GP)"),$B103&lt;&gt;""),INDEX('Points Lookup'!$Q:$Q,MATCH($B103,'Points Lookup'!$P:$P,0)),IF(AND(OR($B$2="APM Level 7",$B$2="R&amp;T Level 7",$B$2="APM Level 8",$B$2="Technical Services Level 7"),B103&lt;&gt;""),INDEX('Points Lookup'!$H:$H,MATCH($AA103,'Points Lookup'!$AN:$AN,0)),IF($B$2="R&amp;T Level 5 - Clinical Lecturers (Vet School)",SUMIF('Points Lookup'!$V:$V,$B103,'Points Lookup'!$Y:$Y),IF($B$2="R&amp;T Level 6 - Clinical Associate Professors and Clinical Readers (Vet School)",SUMIF('Points Lookup'!$AC:$AC,$B103,'Points Lookup'!$AF:$AF),IFERROR(INDEX('Points Lookup'!$B:$B,MATCH($AA103,'Points Lookup'!$AN:$AN,0)),""))))))))</f>
        <v/>
      </c>
      <c r="D103" s="81"/>
      <c r="E103" s="81"/>
      <c r="F103" s="81" t="str">
        <f ca="1">IF($B103="","",IF(AND($B$2="Salary Points 3 to 57",B103&lt;Thresholds_Rates!$C$16),"-",IF(SUMIF(Grades!$A:$A,$B$2,Grades!$BO:$BO)=0,"-",IF(AND($B$2="Salary Points 3 to 57",B103&gt;=Thresholds_Rates!$C$16),$C103*Thresholds_Rates!$F$15,IF(AND(OR($B$2="New Consultant Contract"),$B103&lt;&gt;""),$C103*Thresholds_Rates!$F$15,IF(AND(OR($B$2="Clinical Lecturer / Medical Research Fellow",$B$2="Clinical Consultant - Old Contract (GP)"),$B103&lt;&gt;""),$C103*Thresholds_Rates!$F$15,IF(OR($B$2="APM Level 7",$B$2="R&amp;T Level 7"),$C103*Thresholds_Rates!$F$15,IF(SUMIF(Grades!$A:$A,$B$2,Grades!$BO:$BO)=1,$C103*Thresholds_Rates!$F$15,""))))))))</f>
        <v/>
      </c>
      <c r="G103" s="81" t="str">
        <f ca="1">IF(B103="","",IF($B$2="Salary Points 1 to 57","-",IF(SUMIF(Grades!$A:$A,$B$2,Grades!$BP:$BP)=0,"-",IF(AND(OR($B$2="New Consultant Contract"),$B103&lt;&gt;""),$C103*Thresholds_Rates!$F$16,IF(AND(OR($B$2="Clinical Lecturer / Medical Research Fellow",$B$2="Clinical Consultant - Old Contract (GP)"),$B103&lt;&gt;""),$C103*Thresholds_Rates!$F$16,IF(AND(OR($B$2="APM Level 7",$B$2="R&amp;T Level 7"),F103&lt;&gt;""),$C103*Thresholds_Rates!$F$16,IF(SUMIF(Grades!$A:$A,$B$2,Grades!$BP:$BP)=1,$C103*Thresholds_Rates!$F$16,"")))))))</f>
        <v/>
      </c>
      <c r="H103" s="81" t="str">
        <f ca="1">IF(B103="","",IF(SUMIF(Grades!$A:$A,$B$2,Grades!$BQ:$BQ)=0,"-",IF(AND($B$2="Salary Points 1 to 57",B103&gt;Thresholds_Rates!$C$17),"-",IF(AND($B$2="Salary Points 1 to 57",B103&lt;=Thresholds_Rates!$C$17),$C103*Thresholds_Rates!$F$17,IF(AND(OR($B$2="New Consultant Contract"),$B103&lt;&gt;""),$C103*Thresholds_Rates!$F$17,IF(AND(OR($B$2="Clinical Lecturer / Medical Research Fellow",$B$2="Clinical Consultant - Old Contract (GP)"),$B103&lt;&gt;""),$C103*Thresholds_Rates!$F$17,IF(AND(OR($B$2="APM Level 7",$B$2="R&amp;T Level 7"),G103&lt;&gt;""),$C103*Thresholds_Rates!$F$17,IF(SUMIF(Grades!$A:$A,$B$2,Grades!$BQ:$BQ)=1,$C103*Thresholds_Rates!$F$17,""))))))))</f>
        <v/>
      </c>
      <c r="I103" s="81"/>
      <c r="J103" s="81" t="str">
        <f ca="1">IF(B103="","",(C103*Thresholds_Rates!$C$12))</f>
        <v/>
      </c>
      <c r="K103" s="81"/>
      <c r="L103" s="68"/>
      <c r="M103" s="81" t="str">
        <f t="shared" ca="1" si="6"/>
        <v/>
      </c>
      <c r="N103" s="81" t="str">
        <f t="shared" ca="1" si="7"/>
        <v/>
      </c>
      <c r="O103" s="81" t="str">
        <f t="shared" ca="1" si="8"/>
        <v/>
      </c>
      <c r="P103" s="81" t="str">
        <f t="shared" ca="1" si="9"/>
        <v/>
      </c>
      <c r="Q103" s="81" t="str">
        <f t="shared" ca="1" si="10"/>
        <v/>
      </c>
      <c r="S103" s="83"/>
      <c r="T103" s="84"/>
      <c r="U103" s="83"/>
      <c r="V103" s="84"/>
    </row>
    <row r="104" spans="2:22" x14ac:dyDescent="0.25">
      <c r="B104" s="68" t="str">
        <f ca="1">IFERROR(INDEX('Points Lookup'!$A:$A,MATCH($AA106,'Points Lookup'!$AN:$AN,0)),"")</f>
        <v/>
      </c>
      <c r="C104" s="81" t="str">
        <f ca="1">IF(B104="","",IF($B$2="Apprenticeship",SUMIF('Points Lookup'!$AJ:$AJ,B104,'Points Lookup'!$AL:$AL),IF(AND(OR($B$2="New Consultant Contract"),$B104&lt;&gt;""),INDEX('Points Lookup'!$T:$T,MATCH($B104,'Points Lookup'!$S:$S,0)),IF(AND(OR($B$2="Clinical Lecturer / Medical Research Fellow",$B$2="Clinical Consultant - Old Contract (GP)"),$B104&lt;&gt;""),INDEX('Points Lookup'!$Q:$Q,MATCH($B104,'Points Lookup'!$P:$P,0)),IF(AND(OR($B$2="APM Level 7",$B$2="R&amp;T Level 7",$B$2="APM Level 8",$B$2="Technical Services Level 7"),B104&lt;&gt;""),INDEX('Points Lookup'!$H:$H,MATCH($AA104,'Points Lookup'!$AN:$AN,0)),IF($B$2="R&amp;T Level 5 - Clinical Lecturers (Vet School)",SUMIF('Points Lookup'!$V:$V,$B104,'Points Lookup'!$Y:$Y),IF($B$2="R&amp;T Level 6 - Clinical Associate Professors and Clinical Readers (Vet School)",SUMIF('Points Lookup'!$AC:$AC,$B104,'Points Lookup'!$AF:$AF),IFERROR(INDEX('Points Lookup'!$B:$B,MATCH($AA104,'Points Lookup'!$AN:$AN,0)),""))))))))</f>
        <v/>
      </c>
      <c r="D104" s="81"/>
      <c r="E104" s="81"/>
      <c r="F104" s="81" t="str">
        <f ca="1">IF($B104="","",IF(AND($B$2="Salary Points 3 to 57",B104&lt;Thresholds_Rates!$C$16),"-",IF(SUMIF(Grades!$A:$A,$B$2,Grades!$BO:$BO)=0,"-",IF(AND($B$2="Salary Points 3 to 57",B104&gt;=Thresholds_Rates!$C$16),$C104*Thresholds_Rates!$F$15,IF(AND(OR($B$2="New Consultant Contract"),$B104&lt;&gt;""),$C104*Thresholds_Rates!$F$15,IF(AND(OR($B$2="Clinical Lecturer / Medical Research Fellow",$B$2="Clinical Consultant - Old Contract (GP)"),$B104&lt;&gt;""),$C104*Thresholds_Rates!$F$15,IF(OR($B$2="APM Level 7",$B$2="R&amp;T Level 7"),$C104*Thresholds_Rates!$F$15,IF(SUMIF(Grades!$A:$A,$B$2,Grades!$BO:$BO)=1,$C104*Thresholds_Rates!$F$15,""))))))))</f>
        <v/>
      </c>
      <c r="G104" s="81" t="str">
        <f ca="1">IF(B104="","",IF($B$2="Salary Points 1 to 57","-",IF(SUMIF(Grades!$A:$A,$B$2,Grades!$BP:$BP)=0,"-",IF(AND(OR($B$2="New Consultant Contract"),$B104&lt;&gt;""),$C104*Thresholds_Rates!$F$16,IF(AND(OR($B$2="Clinical Lecturer / Medical Research Fellow",$B$2="Clinical Consultant - Old Contract (GP)"),$B104&lt;&gt;""),$C104*Thresholds_Rates!$F$16,IF(AND(OR($B$2="APM Level 7",$B$2="R&amp;T Level 7"),F104&lt;&gt;""),$C104*Thresholds_Rates!$F$16,IF(SUMIF(Grades!$A:$A,$B$2,Grades!$BP:$BP)=1,$C104*Thresholds_Rates!$F$16,"")))))))</f>
        <v/>
      </c>
      <c r="H104" s="81" t="str">
        <f ca="1">IF(B104="","",IF(SUMIF(Grades!$A:$A,$B$2,Grades!$BQ:$BQ)=0,"-",IF(AND($B$2="Salary Points 1 to 57",B104&gt;Thresholds_Rates!$C$17),"-",IF(AND($B$2="Salary Points 1 to 57",B104&lt;=Thresholds_Rates!$C$17),$C104*Thresholds_Rates!$F$17,IF(AND(OR($B$2="New Consultant Contract"),$B104&lt;&gt;""),$C104*Thresholds_Rates!$F$17,IF(AND(OR($B$2="Clinical Lecturer / Medical Research Fellow",$B$2="Clinical Consultant - Old Contract (GP)"),$B104&lt;&gt;""),$C104*Thresholds_Rates!$F$17,IF(AND(OR($B$2="APM Level 7",$B$2="R&amp;T Level 7"),G104&lt;&gt;""),$C104*Thresholds_Rates!$F$17,IF(SUMIF(Grades!$A:$A,$B$2,Grades!$BQ:$BQ)=1,$C104*Thresholds_Rates!$F$17,""))))))))</f>
        <v/>
      </c>
      <c r="I104" s="81"/>
      <c r="J104" s="81" t="str">
        <f ca="1">IF(B104="","",(C104*Thresholds_Rates!$C$12))</f>
        <v/>
      </c>
      <c r="K104" s="81"/>
      <c r="L104" s="68"/>
      <c r="M104" s="81" t="str">
        <f t="shared" ca="1" si="6"/>
        <v/>
      </c>
      <c r="N104" s="81" t="str">
        <f t="shared" ca="1" si="7"/>
        <v/>
      </c>
      <c r="O104" s="81" t="str">
        <f t="shared" ca="1" si="8"/>
        <v/>
      </c>
      <c r="P104" s="81" t="str">
        <f t="shared" ca="1" si="9"/>
        <v/>
      </c>
      <c r="Q104" s="81" t="str">
        <f t="shared" ca="1" si="10"/>
        <v/>
      </c>
      <c r="S104" s="83"/>
      <c r="T104" s="84"/>
      <c r="U104" s="83"/>
      <c r="V104" s="84"/>
    </row>
    <row r="105" spans="2:22" x14ac:dyDescent="0.25">
      <c r="B105" s="68" t="str">
        <f ca="1">IFERROR(INDEX('Points Lookup'!$A:$A,MATCH($AA107,'Points Lookup'!$AN:$AN,0)),"")</f>
        <v/>
      </c>
      <c r="C105" s="81" t="str">
        <f ca="1">IF(B105="","",IF($B$2="Apprenticeship",SUMIF('Points Lookup'!$AJ:$AJ,B105,'Points Lookup'!$AL:$AL),IF(AND(OR($B$2="New Consultant Contract"),$B105&lt;&gt;""),INDEX('Points Lookup'!$T:$T,MATCH($B105,'Points Lookup'!$S:$S,0)),IF(AND(OR($B$2="Clinical Lecturer / Medical Research Fellow",$B$2="Clinical Consultant - Old Contract (GP)"),$B105&lt;&gt;""),INDEX('Points Lookup'!$Q:$Q,MATCH($B105,'Points Lookup'!$P:$P,0)),IF(AND(OR($B$2="APM Level 7",$B$2="R&amp;T Level 7",$B$2="APM Level 8",$B$2="Technical Services Level 7"),B105&lt;&gt;""),INDEX('Points Lookup'!$H:$H,MATCH($AA105,'Points Lookup'!$AN:$AN,0)),IF($B$2="R&amp;T Level 5 - Clinical Lecturers (Vet School)",SUMIF('Points Lookup'!$V:$V,$B105,'Points Lookup'!$Y:$Y),IF($B$2="R&amp;T Level 6 - Clinical Associate Professors and Clinical Readers (Vet School)",SUMIF('Points Lookup'!$AC:$AC,$B105,'Points Lookup'!$AF:$AF),IFERROR(INDEX('Points Lookup'!$B:$B,MATCH($AA105,'Points Lookup'!$AN:$AN,0)),""))))))))</f>
        <v/>
      </c>
      <c r="D105" s="81"/>
      <c r="E105" s="81"/>
      <c r="F105" s="81" t="str">
        <f ca="1">IF($B105="","",IF(AND($B$2="Salary Points 3 to 57",B105&lt;Thresholds_Rates!$C$16),"-",IF(SUMIF(Grades!$A:$A,$B$2,Grades!$BO:$BO)=0,"-",IF(AND($B$2="Salary Points 3 to 57",B105&gt;=Thresholds_Rates!$C$16),$C105*Thresholds_Rates!$F$15,IF(AND(OR($B$2="New Consultant Contract"),$B105&lt;&gt;""),$C105*Thresholds_Rates!$F$15,IF(AND(OR($B$2="Clinical Lecturer / Medical Research Fellow",$B$2="Clinical Consultant - Old Contract (GP)"),$B105&lt;&gt;""),$C105*Thresholds_Rates!$F$15,IF(OR($B$2="APM Level 7",$B$2="R&amp;T Level 7"),$C105*Thresholds_Rates!$F$15,IF(SUMIF(Grades!$A:$A,$B$2,Grades!$BO:$BO)=1,$C105*Thresholds_Rates!$F$15,""))))))))</f>
        <v/>
      </c>
      <c r="G105" s="81" t="str">
        <f ca="1">IF(B105="","",IF($B$2="Salary Points 1 to 57","-",IF(SUMIF(Grades!$A:$A,$B$2,Grades!$BP:$BP)=0,"-",IF(AND(OR($B$2="New Consultant Contract"),$B105&lt;&gt;""),$C105*Thresholds_Rates!$F$16,IF(AND(OR($B$2="Clinical Lecturer / Medical Research Fellow",$B$2="Clinical Consultant - Old Contract (GP)"),$B105&lt;&gt;""),$C105*Thresholds_Rates!$F$16,IF(AND(OR($B$2="APM Level 7",$B$2="R&amp;T Level 7"),F105&lt;&gt;""),$C105*Thresholds_Rates!$F$16,IF(SUMIF(Grades!$A:$A,$B$2,Grades!$BP:$BP)=1,$C105*Thresholds_Rates!$F$16,"")))))))</f>
        <v/>
      </c>
      <c r="H105" s="81" t="str">
        <f ca="1">IF(B105="","",IF(SUMIF(Grades!$A:$A,$B$2,Grades!$BQ:$BQ)=0,"-",IF(AND($B$2="Salary Points 1 to 57",B105&gt;Thresholds_Rates!$C$17),"-",IF(AND($B$2="Salary Points 1 to 57",B105&lt;=Thresholds_Rates!$C$17),$C105*Thresholds_Rates!$F$17,IF(AND(OR($B$2="New Consultant Contract"),$B105&lt;&gt;""),$C105*Thresholds_Rates!$F$17,IF(AND(OR($B$2="Clinical Lecturer / Medical Research Fellow",$B$2="Clinical Consultant - Old Contract (GP)"),$B105&lt;&gt;""),$C105*Thresholds_Rates!$F$17,IF(AND(OR($B$2="APM Level 7",$B$2="R&amp;T Level 7"),G105&lt;&gt;""),$C105*Thresholds_Rates!$F$17,IF(SUMIF(Grades!$A:$A,$B$2,Grades!$BQ:$BQ)=1,$C105*Thresholds_Rates!$F$17,""))))))))</f>
        <v/>
      </c>
      <c r="I105" s="81"/>
      <c r="J105" s="81" t="str">
        <f ca="1">IF(B105="","",(C105*Thresholds_Rates!$C$12))</f>
        <v/>
      </c>
      <c r="K105" s="81"/>
      <c r="L105" s="68"/>
      <c r="M105" s="81" t="str">
        <f t="shared" ca="1" si="6"/>
        <v/>
      </c>
      <c r="N105" s="81" t="str">
        <f t="shared" ca="1" si="7"/>
        <v/>
      </c>
      <c r="O105" s="81" t="str">
        <f t="shared" ca="1" si="8"/>
        <v/>
      </c>
      <c r="P105" s="81" t="str">
        <f t="shared" ca="1" si="9"/>
        <v/>
      </c>
      <c r="Q105" s="81" t="str">
        <f t="shared" ca="1" si="10"/>
        <v/>
      </c>
      <c r="S105" s="83"/>
      <c r="T105" s="84"/>
      <c r="U105" s="83"/>
      <c r="V105" s="84"/>
    </row>
    <row r="106" spans="2:22" x14ac:dyDescent="0.25">
      <c r="B106" s="68" t="str">
        <f ca="1">IFERROR(INDEX('Points Lookup'!$A:$A,MATCH($AA108,'Points Lookup'!$AN:$AN,0)),"")</f>
        <v/>
      </c>
      <c r="C106" s="81" t="str">
        <f ca="1">IF(B106="","",IF($B$2="Apprenticeship",SUMIF('Points Lookup'!$AJ:$AJ,B106,'Points Lookup'!$AL:$AL),IF(AND(OR($B$2="New Consultant Contract"),$B106&lt;&gt;""),INDEX('Points Lookup'!$T:$T,MATCH($B106,'Points Lookup'!$S:$S,0)),IF(AND(OR($B$2="Clinical Lecturer / Medical Research Fellow",$B$2="Clinical Consultant - Old Contract (GP)"),$B106&lt;&gt;""),INDEX('Points Lookup'!$Q:$Q,MATCH($B106,'Points Lookup'!$P:$P,0)),IF(AND(OR($B$2="APM Level 7",$B$2="R&amp;T Level 7",$B$2="APM Level 8",$B$2="Technical Services Level 7"),B106&lt;&gt;""),INDEX('Points Lookup'!$H:$H,MATCH($AA106,'Points Lookup'!$AN:$AN,0)),IF($B$2="R&amp;T Level 5 - Clinical Lecturers (Vet School)",SUMIF('Points Lookup'!$V:$V,$B106,'Points Lookup'!$Y:$Y),IF($B$2="R&amp;T Level 6 - Clinical Associate Professors and Clinical Readers (Vet School)",SUMIF('Points Lookup'!$AC:$AC,$B106,'Points Lookup'!$AF:$AF),IFERROR(INDEX('Points Lookup'!$B:$B,MATCH($AA106,'Points Lookup'!$AN:$AN,0)),""))))))))</f>
        <v/>
      </c>
      <c r="D106" s="81"/>
      <c r="E106" s="81"/>
      <c r="F106" s="81" t="str">
        <f ca="1">IF($B106="","",IF(AND($B$2="Salary Points 3 to 57",B106&lt;Thresholds_Rates!$C$16),"-",IF(SUMIF(Grades!$A:$A,$B$2,Grades!$BO:$BO)=0,"-",IF(AND($B$2="Salary Points 3 to 57",B106&gt;=Thresholds_Rates!$C$16),$C106*Thresholds_Rates!$F$15,IF(AND(OR($B$2="New Consultant Contract"),$B106&lt;&gt;""),$C106*Thresholds_Rates!$F$15,IF(AND(OR($B$2="Clinical Lecturer / Medical Research Fellow",$B$2="Clinical Consultant - Old Contract (GP)"),$B106&lt;&gt;""),$C106*Thresholds_Rates!$F$15,IF(OR($B$2="APM Level 7",$B$2="R&amp;T Level 7"),$C106*Thresholds_Rates!$F$15,IF(SUMIF(Grades!$A:$A,$B$2,Grades!$BO:$BO)=1,$C106*Thresholds_Rates!$F$15,""))))))))</f>
        <v/>
      </c>
      <c r="G106" s="81" t="str">
        <f ca="1">IF(B106="","",IF($B$2="Salary Points 1 to 57","-",IF(SUMIF(Grades!$A:$A,$B$2,Grades!$BP:$BP)=0,"-",IF(AND(OR($B$2="New Consultant Contract"),$B106&lt;&gt;""),$C106*Thresholds_Rates!$F$16,IF(AND(OR($B$2="Clinical Lecturer / Medical Research Fellow",$B$2="Clinical Consultant - Old Contract (GP)"),$B106&lt;&gt;""),$C106*Thresholds_Rates!$F$16,IF(AND(OR($B$2="APM Level 7",$B$2="R&amp;T Level 7"),F106&lt;&gt;""),$C106*Thresholds_Rates!$F$16,IF(SUMIF(Grades!$A:$A,$B$2,Grades!$BP:$BP)=1,$C106*Thresholds_Rates!$F$16,"")))))))</f>
        <v/>
      </c>
      <c r="H106" s="81" t="str">
        <f ca="1">IF(B106="","",IF(SUMIF(Grades!$A:$A,$B$2,Grades!$BQ:$BQ)=0,"-",IF(AND($B$2="Salary Points 1 to 57",B106&gt;Thresholds_Rates!$C$17),"-",IF(AND($B$2="Salary Points 1 to 57",B106&lt;=Thresholds_Rates!$C$17),$C106*Thresholds_Rates!$F$17,IF(AND(OR($B$2="New Consultant Contract"),$B106&lt;&gt;""),$C106*Thresholds_Rates!$F$17,IF(AND(OR($B$2="Clinical Lecturer / Medical Research Fellow",$B$2="Clinical Consultant - Old Contract (GP)"),$B106&lt;&gt;""),$C106*Thresholds_Rates!$F$17,IF(AND(OR($B$2="APM Level 7",$B$2="R&amp;T Level 7"),G106&lt;&gt;""),$C106*Thresholds_Rates!$F$17,IF(SUMIF(Grades!$A:$A,$B$2,Grades!$BQ:$BQ)=1,$C106*Thresholds_Rates!$F$17,""))))))))</f>
        <v/>
      </c>
      <c r="I106" s="81"/>
      <c r="J106" s="81" t="str">
        <f ca="1">IF(B106="","",(C106*Thresholds_Rates!$C$12))</f>
        <v/>
      </c>
      <c r="K106" s="81"/>
      <c r="L106" s="68"/>
      <c r="M106" s="81" t="str">
        <f t="shared" ca="1" si="6"/>
        <v/>
      </c>
      <c r="N106" s="81" t="str">
        <f t="shared" ca="1" si="7"/>
        <v/>
      </c>
      <c r="O106" s="81" t="str">
        <f t="shared" ca="1" si="8"/>
        <v/>
      </c>
      <c r="P106" s="81" t="str">
        <f t="shared" ca="1" si="9"/>
        <v/>
      </c>
      <c r="Q106" s="81" t="str">
        <f t="shared" ca="1" si="10"/>
        <v/>
      </c>
      <c r="S106" s="83"/>
      <c r="T106" s="84"/>
      <c r="U106" s="83"/>
      <c r="V106" s="84"/>
    </row>
    <row r="107" spans="2:22" x14ac:dyDescent="0.25">
      <c r="B107" s="68" t="str">
        <f ca="1">IFERROR(INDEX('Points Lookup'!$A:$A,MATCH($AA109,'Points Lookup'!$AN:$AN,0)),"")</f>
        <v/>
      </c>
      <c r="C107" s="81" t="str">
        <f ca="1">IF(B107="","",IF($B$2="Apprenticeship",SUMIF('Points Lookup'!$AJ:$AJ,B107,'Points Lookup'!$AL:$AL),IF(AND(OR($B$2="New Consultant Contract"),$B107&lt;&gt;""),INDEX('Points Lookup'!$T:$T,MATCH($B107,'Points Lookup'!$S:$S,0)),IF(AND(OR($B$2="Clinical Lecturer / Medical Research Fellow",$B$2="Clinical Consultant - Old Contract (GP)"),$B107&lt;&gt;""),INDEX('Points Lookup'!$Q:$Q,MATCH($B107,'Points Lookup'!$P:$P,0)),IF(AND(OR($B$2="APM Level 7",$B$2="R&amp;T Level 7",$B$2="APM Level 8",$B$2="Technical Services Level 7"),B107&lt;&gt;""),INDEX('Points Lookup'!$H:$H,MATCH($AA107,'Points Lookup'!$AN:$AN,0)),IF($B$2="R&amp;T Level 5 - Clinical Lecturers (Vet School)",SUMIF('Points Lookup'!$V:$V,$B107,'Points Lookup'!$Y:$Y),IF($B$2="R&amp;T Level 6 - Clinical Associate Professors and Clinical Readers (Vet School)",SUMIF('Points Lookup'!$AC:$AC,$B107,'Points Lookup'!$AF:$AF),IFERROR(INDEX('Points Lookup'!$B:$B,MATCH($AA107,'Points Lookup'!$AN:$AN,0)),""))))))))</f>
        <v/>
      </c>
      <c r="D107" s="81"/>
      <c r="E107" s="81"/>
      <c r="F107" s="81" t="str">
        <f ca="1">IF($B107="","",IF(AND($B$2="Salary Points 3 to 57",B107&lt;Thresholds_Rates!$C$16),"-",IF(SUMIF(Grades!$A:$A,$B$2,Grades!$BO:$BO)=0,"-",IF(AND($B$2="Salary Points 3 to 57",B107&gt;=Thresholds_Rates!$C$16),$C107*Thresholds_Rates!$F$15,IF(AND(OR($B$2="New Consultant Contract"),$B107&lt;&gt;""),$C107*Thresholds_Rates!$F$15,IF(AND(OR($B$2="Clinical Lecturer / Medical Research Fellow",$B$2="Clinical Consultant - Old Contract (GP)"),$B107&lt;&gt;""),$C107*Thresholds_Rates!$F$15,IF(OR($B$2="APM Level 7",$B$2="R&amp;T Level 7"),$C107*Thresholds_Rates!$F$15,IF(SUMIF(Grades!$A:$A,$B$2,Grades!$BO:$BO)=1,$C107*Thresholds_Rates!$F$15,""))))))))</f>
        <v/>
      </c>
      <c r="G107" s="81" t="str">
        <f ca="1">IF(B107="","",IF($B$2="Salary Points 1 to 57","-",IF(SUMIF(Grades!$A:$A,$B$2,Grades!$BP:$BP)=0,"-",IF(AND(OR($B$2="New Consultant Contract"),$B107&lt;&gt;""),$C107*Thresholds_Rates!$F$16,IF(AND(OR($B$2="Clinical Lecturer / Medical Research Fellow",$B$2="Clinical Consultant - Old Contract (GP)"),$B107&lt;&gt;""),$C107*Thresholds_Rates!$F$16,IF(AND(OR($B$2="APM Level 7",$B$2="R&amp;T Level 7"),F107&lt;&gt;""),$C107*Thresholds_Rates!$F$16,IF(SUMIF(Grades!$A:$A,$B$2,Grades!$BP:$BP)=1,$C107*Thresholds_Rates!$F$16,"")))))))</f>
        <v/>
      </c>
      <c r="H107" s="81" t="str">
        <f ca="1">IF(B107="","",IF(SUMIF(Grades!$A:$A,$B$2,Grades!$BQ:$BQ)=0,"-",IF(AND($B$2="Salary Points 1 to 57",B107&gt;Thresholds_Rates!$C$17),"-",IF(AND($B$2="Salary Points 1 to 57",B107&lt;=Thresholds_Rates!$C$17),$C107*Thresholds_Rates!$F$17,IF(AND(OR($B$2="New Consultant Contract"),$B107&lt;&gt;""),$C107*Thresholds_Rates!$F$17,IF(AND(OR($B$2="Clinical Lecturer / Medical Research Fellow",$B$2="Clinical Consultant - Old Contract (GP)"),$B107&lt;&gt;""),$C107*Thresholds_Rates!$F$17,IF(AND(OR($B$2="APM Level 7",$B$2="R&amp;T Level 7"),G107&lt;&gt;""),$C107*Thresholds_Rates!$F$17,IF(SUMIF(Grades!$A:$A,$B$2,Grades!$BQ:$BQ)=1,$C107*Thresholds_Rates!$F$17,""))))))))</f>
        <v/>
      </c>
      <c r="I107" s="81"/>
      <c r="J107" s="81" t="str">
        <f ca="1">IF(B107="","",(C107*Thresholds_Rates!$C$12))</f>
        <v/>
      </c>
      <c r="K107" s="81"/>
      <c r="L107" s="68"/>
      <c r="M107" s="81" t="str">
        <f t="shared" ca="1" si="6"/>
        <v/>
      </c>
      <c r="N107" s="81" t="str">
        <f t="shared" ca="1" si="7"/>
        <v/>
      </c>
      <c r="O107" s="81" t="str">
        <f t="shared" ca="1" si="8"/>
        <v/>
      </c>
      <c r="P107" s="81" t="str">
        <f t="shared" ca="1" si="9"/>
        <v/>
      </c>
      <c r="Q107" s="81" t="str">
        <f t="shared" ca="1" si="10"/>
        <v/>
      </c>
      <c r="S107" s="83"/>
      <c r="T107" s="84"/>
      <c r="U107" s="83"/>
      <c r="V107" s="84"/>
    </row>
    <row r="108" spans="2:22" x14ac:dyDescent="0.25">
      <c r="B108" s="68" t="str">
        <f ca="1">IFERROR(INDEX('Points Lookup'!$A:$A,MATCH($AA110,'Points Lookup'!$AN:$AN,0)),"")</f>
        <v/>
      </c>
      <c r="C108" s="81" t="str">
        <f ca="1">IF(B108="","",IF($B$2="Apprenticeship",SUMIF('Points Lookup'!$AJ:$AJ,B108,'Points Lookup'!$AL:$AL),IF(AND(OR($B$2="New Consultant Contract"),$B108&lt;&gt;""),INDEX('Points Lookup'!$T:$T,MATCH($B108,'Points Lookup'!$S:$S,0)),IF(AND(OR($B$2="Clinical Lecturer / Medical Research Fellow",$B$2="Clinical Consultant - Old Contract (GP)"),$B108&lt;&gt;""),INDEX('Points Lookup'!$Q:$Q,MATCH($B108,'Points Lookup'!$P:$P,0)),IF(AND(OR($B$2="APM Level 7",$B$2="R&amp;T Level 7",$B$2="APM Level 8",$B$2="Technical Services Level 7"),B108&lt;&gt;""),INDEX('Points Lookup'!$H:$H,MATCH($AA108,'Points Lookup'!$AN:$AN,0)),IF($B$2="R&amp;T Level 5 - Clinical Lecturers (Vet School)",SUMIF('Points Lookup'!$V:$V,$B108,'Points Lookup'!$Y:$Y),IF($B$2="R&amp;T Level 6 - Clinical Associate Professors and Clinical Readers (Vet School)",SUMIF('Points Lookup'!$AC:$AC,$B108,'Points Lookup'!$AF:$AF),IFERROR(INDEX('Points Lookup'!$B:$B,MATCH($AA108,'Points Lookup'!$AN:$AN,0)),""))))))))</f>
        <v/>
      </c>
      <c r="D108" s="81"/>
      <c r="E108" s="81"/>
      <c r="F108" s="81" t="str">
        <f ca="1">IF($B108="","",IF(AND($B$2="Salary Points 3 to 57",B108&lt;Thresholds_Rates!$C$16),"-",IF(SUMIF(Grades!$A:$A,$B$2,Grades!$BO:$BO)=0,"-",IF(AND($B$2="Salary Points 3 to 57",B108&gt;=Thresholds_Rates!$C$16),$C108*Thresholds_Rates!$F$15,IF(AND(OR($B$2="New Consultant Contract"),$B108&lt;&gt;""),$C108*Thresholds_Rates!$F$15,IF(AND(OR($B$2="Clinical Lecturer / Medical Research Fellow",$B$2="Clinical Consultant - Old Contract (GP)"),$B108&lt;&gt;""),$C108*Thresholds_Rates!$F$15,IF(OR($B$2="APM Level 7",$B$2="R&amp;T Level 7"),$C108*Thresholds_Rates!$F$15,IF(SUMIF(Grades!$A:$A,$B$2,Grades!$BO:$BO)=1,$C108*Thresholds_Rates!$F$15,""))))))))</f>
        <v/>
      </c>
      <c r="G108" s="81" t="str">
        <f ca="1">IF(B108="","",IF($B$2="Salary Points 1 to 57","-",IF(SUMIF(Grades!$A:$A,$B$2,Grades!$BP:$BP)=0,"-",IF(AND(OR($B$2="New Consultant Contract"),$B108&lt;&gt;""),$C108*Thresholds_Rates!$F$16,IF(AND(OR($B$2="Clinical Lecturer / Medical Research Fellow",$B$2="Clinical Consultant - Old Contract (GP)"),$B108&lt;&gt;""),$C108*Thresholds_Rates!$F$16,IF(AND(OR($B$2="APM Level 7",$B$2="R&amp;T Level 7"),F108&lt;&gt;""),$C108*Thresholds_Rates!$F$16,IF(SUMIF(Grades!$A:$A,$B$2,Grades!$BP:$BP)=1,$C108*Thresholds_Rates!$F$16,"")))))))</f>
        <v/>
      </c>
      <c r="H108" s="81" t="str">
        <f ca="1">IF(B108="","",IF(SUMIF(Grades!$A:$A,$B$2,Grades!$BQ:$BQ)=0,"-",IF(AND($B$2="Salary Points 1 to 57",B108&gt;Thresholds_Rates!$C$17),"-",IF(AND($B$2="Salary Points 1 to 57",B108&lt;=Thresholds_Rates!$C$17),$C108*Thresholds_Rates!$F$17,IF(AND(OR($B$2="New Consultant Contract"),$B108&lt;&gt;""),$C108*Thresholds_Rates!$F$17,IF(AND(OR($B$2="Clinical Lecturer / Medical Research Fellow",$B$2="Clinical Consultant - Old Contract (GP)"),$B108&lt;&gt;""),$C108*Thresholds_Rates!$F$17,IF(AND(OR($B$2="APM Level 7",$B$2="R&amp;T Level 7"),G108&lt;&gt;""),$C108*Thresholds_Rates!$F$17,IF(SUMIF(Grades!$A:$A,$B$2,Grades!$BQ:$BQ)=1,$C108*Thresholds_Rates!$F$17,""))))))))</f>
        <v/>
      </c>
      <c r="I108" s="81"/>
      <c r="J108" s="81" t="str">
        <f ca="1">IF(B108="","",(C108*Thresholds_Rates!$C$12))</f>
        <v/>
      </c>
      <c r="K108" s="81"/>
      <c r="L108" s="68"/>
      <c r="M108" s="81" t="str">
        <f t="shared" ca="1" si="6"/>
        <v/>
      </c>
      <c r="N108" s="81" t="str">
        <f t="shared" ca="1" si="7"/>
        <v/>
      </c>
      <c r="O108" s="81" t="str">
        <f t="shared" ca="1" si="8"/>
        <v/>
      </c>
      <c r="P108" s="81" t="str">
        <f t="shared" ca="1" si="9"/>
        <v/>
      </c>
      <c r="Q108" s="81" t="str">
        <f t="shared" ca="1" si="10"/>
        <v/>
      </c>
      <c r="S108" s="83"/>
      <c r="T108" s="84"/>
      <c r="U108" s="83"/>
      <c r="V108" s="84"/>
    </row>
    <row r="109" spans="2:22" x14ac:dyDescent="0.25">
      <c r="B109" s="68" t="str">
        <f ca="1">IFERROR(INDEX('Points Lookup'!$A:$A,MATCH($AA111,'Points Lookup'!$AN:$AN,0)),"")</f>
        <v/>
      </c>
      <c r="C109" s="81" t="str">
        <f ca="1">IF(B109="","",IF($B$2="Apprenticeship",SUMIF('Points Lookup'!$AJ:$AJ,B109,'Points Lookup'!$AL:$AL),IF(AND(OR($B$2="New Consultant Contract"),$B109&lt;&gt;""),INDEX('Points Lookup'!$T:$T,MATCH($B109,'Points Lookup'!$S:$S,0)),IF(AND(OR($B$2="Clinical Lecturer / Medical Research Fellow",$B$2="Clinical Consultant - Old Contract (GP)"),$B109&lt;&gt;""),INDEX('Points Lookup'!$Q:$Q,MATCH($B109,'Points Lookup'!$P:$P,0)),IF(AND(OR($B$2="APM Level 7",$B$2="R&amp;T Level 7",$B$2="APM Level 8",$B$2="Technical Services Level 7"),B109&lt;&gt;""),INDEX('Points Lookup'!$H:$H,MATCH($AA109,'Points Lookup'!$AN:$AN,0)),IF($B$2="R&amp;T Level 5 - Clinical Lecturers (Vet School)",SUMIF('Points Lookup'!$V:$V,$B109,'Points Lookup'!$Y:$Y),IF($B$2="R&amp;T Level 6 - Clinical Associate Professors and Clinical Readers (Vet School)",SUMIF('Points Lookup'!$AC:$AC,$B109,'Points Lookup'!$AF:$AF),IFERROR(INDEX('Points Lookup'!$B:$B,MATCH($AA109,'Points Lookup'!$AN:$AN,0)),""))))))))</f>
        <v/>
      </c>
      <c r="D109" s="81"/>
      <c r="E109" s="81"/>
      <c r="F109" s="81" t="str">
        <f ca="1">IF($B109="","",IF(AND($B$2="Salary Points 3 to 57",B109&lt;Thresholds_Rates!$C$16),"-",IF(SUMIF(Grades!$A:$A,$B$2,Grades!$BO:$BO)=0,"-",IF(AND($B$2="Salary Points 3 to 57",B109&gt;=Thresholds_Rates!$C$16),$C109*Thresholds_Rates!$F$15,IF(AND(OR($B$2="New Consultant Contract"),$B109&lt;&gt;""),$C109*Thresholds_Rates!$F$15,IF(AND(OR($B$2="Clinical Lecturer / Medical Research Fellow",$B$2="Clinical Consultant - Old Contract (GP)"),$B109&lt;&gt;""),$C109*Thresholds_Rates!$F$15,IF(OR($B$2="APM Level 7",$B$2="R&amp;T Level 7"),$C109*Thresholds_Rates!$F$15,IF(SUMIF(Grades!$A:$A,$B$2,Grades!$BO:$BO)=1,$C109*Thresholds_Rates!$F$15,""))))))))</f>
        <v/>
      </c>
      <c r="G109" s="81" t="str">
        <f ca="1">IF(B109="","",IF($B$2="Salary Points 1 to 57","-",IF(SUMIF(Grades!$A:$A,$B$2,Grades!$BP:$BP)=0,"-",IF(AND(OR($B$2="New Consultant Contract"),$B109&lt;&gt;""),$C109*Thresholds_Rates!$F$16,IF(AND(OR($B$2="Clinical Lecturer / Medical Research Fellow",$B$2="Clinical Consultant - Old Contract (GP)"),$B109&lt;&gt;""),$C109*Thresholds_Rates!$F$16,IF(AND(OR($B$2="APM Level 7",$B$2="R&amp;T Level 7"),F109&lt;&gt;""),$C109*Thresholds_Rates!$F$16,IF(SUMIF(Grades!$A:$A,$B$2,Grades!$BP:$BP)=1,$C109*Thresholds_Rates!$F$16,"")))))))</f>
        <v/>
      </c>
      <c r="H109" s="81" t="str">
        <f ca="1">IF(B109="","",IF(SUMIF(Grades!$A:$A,$B$2,Grades!$BQ:$BQ)=0,"-",IF(AND($B$2="Salary Points 1 to 57",B109&gt;Thresholds_Rates!$C$17),"-",IF(AND($B$2="Salary Points 1 to 57",B109&lt;=Thresholds_Rates!$C$17),$C109*Thresholds_Rates!$F$17,IF(AND(OR($B$2="New Consultant Contract"),$B109&lt;&gt;""),$C109*Thresholds_Rates!$F$17,IF(AND(OR($B$2="Clinical Lecturer / Medical Research Fellow",$B$2="Clinical Consultant - Old Contract (GP)"),$B109&lt;&gt;""),$C109*Thresholds_Rates!$F$17,IF(AND(OR($B$2="APM Level 7",$B$2="R&amp;T Level 7"),G109&lt;&gt;""),$C109*Thresholds_Rates!$F$17,IF(SUMIF(Grades!$A:$A,$B$2,Grades!$BQ:$BQ)=1,$C109*Thresholds_Rates!$F$17,""))))))))</f>
        <v/>
      </c>
      <c r="I109" s="81"/>
      <c r="J109" s="81" t="str">
        <f ca="1">IF(B109="","",(C109*Thresholds_Rates!$C$12))</f>
        <v/>
      </c>
      <c r="K109" s="81"/>
      <c r="L109" s="68"/>
      <c r="M109" s="81" t="str">
        <f t="shared" ca="1" si="6"/>
        <v/>
      </c>
      <c r="N109" s="81" t="str">
        <f t="shared" ca="1" si="7"/>
        <v/>
      </c>
      <c r="O109" s="81" t="str">
        <f t="shared" ca="1" si="8"/>
        <v/>
      </c>
      <c r="P109" s="81" t="str">
        <f t="shared" ca="1" si="9"/>
        <v/>
      </c>
      <c r="Q109" s="81" t="str">
        <f t="shared" ca="1" si="10"/>
        <v/>
      </c>
      <c r="S109" s="83"/>
      <c r="T109" s="84"/>
      <c r="U109" s="83"/>
      <c r="V109" s="84"/>
    </row>
    <row r="110" spans="2:22" x14ac:dyDescent="0.25">
      <c r="B110" s="68" t="str">
        <f ca="1">IFERROR(INDEX('Points Lookup'!$A:$A,MATCH($AA112,'Points Lookup'!$AN:$AN,0)),"")</f>
        <v/>
      </c>
      <c r="C110" s="81" t="str">
        <f ca="1">IF(B110="","",IF($B$2="Apprenticeship",SUMIF('Points Lookup'!$AJ:$AJ,B110,'Points Lookup'!$AL:$AL),IF(AND(OR($B$2="New Consultant Contract"),$B110&lt;&gt;""),INDEX('Points Lookup'!$T:$T,MATCH($B110,'Points Lookup'!$S:$S,0)),IF(AND(OR($B$2="Clinical Lecturer / Medical Research Fellow",$B$2="Clinical Consultant - Old Contract (GP)"),$B110&lt;&gt;""),INDEX('Points Lookup'!$Q:$Q,MATCH($B110,'Points Lookup'!$P:$P,0)),IF(AND(OR($B$2="APM Level 7",$B$2="R&amp;T Level 7",$B$2="APM Level 8",$B$2="Technical Services Level 7"),B110&lt;&gt;""),INDEX('Points Lookup'!$H:$H,MATCH($AA110,'Points Lookup'!$AN:$AN,0)),IF($B$2="R&amp;T Level 5 - Clinical Lecturers (Vet School)",SUMIF('Points Lookup'!$V:$V,$B110,'Points Lookup'!$Y:$Y),IF($B$2="R&amp;T Level 6 - Clinical Associate Professors and Clinical Readers (Vet School)",SUMIF('Points Lookup'!$AC:$AC,$B110,'Points Lookup'!$AF:$AF),IFERROR(INDEX('Points Lookup'!$B:$B,MATCH($AA110,'Points Lookup'!$AN:$AN,0)),""))))))))</f>
        <v/>
      </c>
      <c r="D110" s="81"/>
      <c r="E110" s="81"/>
      <c r="F110" s="81" t="str">
        <f ca="1">IF($B110="","",IF(AND($B$2="Salary Points 3 to 57",B110&lt;Thresholds_Rates!$C$16),"-",IF(SUMIF(Grades!$A:$A,$B$2,Grades!$BO:$BO)=0,"-",IF(AND($B$2="Salary Points 3 to 57",B110&gt;=Thresholds_Rates!$C$16),$C110*Thresholds_Rates!$F$15,IF(AND(OR($B$2="New Consultant Contract"),$B110&lt;&gt;""),$C110*Thresholds_Rates!$F$15,IF(AND(OR($B$2="Clinical Lecturer / Medical Research Fellow",$B$2="Clinical Consultant - Old Contract (GP)"),$B110&lt;&gt;""),$C110*Thresholds_Rates!$F$15,IF(OR($B$2="APM Level 7",$B$2="R&amp;T Level 7"),$C110*Thresholds_Rates!$F$15,IF(SUMIF(Grades!$A:$A,$B$2,Grades!$BO:$BO)=1,$C110*Thresholds_Rates!$F$15,""))))))))</f>
        <v/>
      </c>
      <c r="G110" s="81" t="str">
        <f ca="1">IF(B110="","",IF($B$2="Salary Points 1 to 57","-",IF(SUMIF(Grades!$A:$A,$B$2,Grades!$BP:$BP)=0,"-",IF(AND(OR($B$2="New Consultant Contract"),$B110&lt;&gt;""),$C110*Thresholds_Rates!$F$16,IF(AND(OR($B$2="Clinical Lecturer / Medical Research Fellow",$B$2="Clinical Consultant - Old Contract (GP)"),$B110&lt;&gt;""),$C110*Thresholds_Rates!$F$16,IF(AND(OR($B$2="APM Level 7",$B$2="R&amp;T Level 7"),F110&lt;&gt;""),$C110*Thresholds_Rates!$F$16,IF(SUMIF(Grades!$A:$A,$B$2,Grades!$BP:$BP)=1,$C110*Thresholds_Rates!$F$16,"")))))))</f>
        <v/>
      </c>
      <c r="H110" s="81" t="str">
        <f ca="1">IF(B110="","",IF(SUMIF(Grades!$A:$A,$B$2,Grades!$BQ:$BQ)=0,"-",IF(AND($B$2="Salary Points 1 to 57",B110&gt;Thresholds_Rates!$C$17),"-",IF(AND($B$2="Salary Points 1 to 57",B110&lt;=Thresholds_Rates!$C$17),$C110*Thresholds_Rates!$F$17,IF(AND(OR($B$2="New Consultant Contract"),$B110&lt;&gt;""),$C110*Thresholds_Rates!$F$17,IF(AND(OR($B$2="Clinical Lecturer / Medical Research Fellow",$B$2="Clinical Consultant - Old Contract (GP)"),$B110&lt;&gt;""),$C110*Thresholds_Rates!$F$17,IF(AND(OR($B$2="APM Level 7",$B$2="R&amp;T Level 7"),G110&lt;&gt;""),$C110*Thresholds_Rates!$F$17,IF(SUMIF(Grades!$A:$A,$B$2,Grades!$BQ:$BQ)=1,$C110*Thresholds_Rates!$F$17,""))))))))</f>
        <v/>
      </c>
      <c r="I110" s="81"/>
      <c r="J110" s="81" t="str">
        <f ca="1">IF(B110="","",(C110*Thresholds_Rates!$C$12))</f>
        <v/>
      </c>
      <c r="K110" s="81"/>
      <c r="L110" s="68"/>
      <c r="M110" s="81" t="str">
        <f t="shared" ca="1" si="6"/>
        <v/>
      </c>
      <c r="N110" s="81" t="str">
        <f t="shared" ca="1" si="7"/>
        <v/>
      </c>
      <c r="O110" s="81" t="str">
        <f t="shared" ca="1" si="8"/>
        <v/>
      </c>
      <c r="P110" s="81" t="str">
        <f t="shared" ca="1" si="9"/>
        <v/>
      </c>
      <c r="Q110" s="81" t="str">
        <f t="shared" ca="1" si="10"/>
        <v/>
      </c>
      <c r="S110" s="83"/>
      <c r="T110" s="84"/>
      <c r="U110" s="83"/>
      <c r="V110" s="84"/>
    </row>
    <row r="111" spans="2:22" x14ac:dyDescent="0.25">
      <c r="B111" s="68" t="str">
        <f ca="1">IFERROR(INDEX('Points Lookup'!$A:$A,MATCH($AA113,'Points Lookup'!$AN:$AN,0)),"")</f>
        <v/>
      </c>
      <c r="C111" s="81" t="str">
        <f ca="1">IF(B111="","",IF($B$2="Apprenticeship",SUMIF('Points Lookup'!$AJ:$AJ,B111,'Points Lookup'!$AL:$AL),IF(AND(OR($B$2="New Consultant Contract"),$B111&lt;&gt;""),INDEX('Points Lookup'!$T:$T,MATCH($B111,'Points Lookup'!$S:$S,0)),IF(AND(OR($B$2="Clinical Lecturer / Medical Research Fellow",$B$2="Clinical Consultant - Old Contract (GP)"),$B111&lt;&gt;""),INDEX('Points Lookup'!$Q:$Q,MATCH($B111,'Points Lookup'!$P:$P,0)),IF(AND(OR($B$2="APM Level 7",$B$2="R&amp;T Level 7",$B$2="APM Level 8",$B$2="Technical Services Level 7"),B111&lt;&gt;""),INDEX('Points Lookup'!$H:$H,MATCH($AA111,'Points Lookup'!$AN:$AN,0)),IF($B$2="R&amp;T Level 5 - Clinical Lecturers (Vet School)",SUMIF('Points Lookup'!$V:$V,$B111,'Points Lookup'!$Y:$Y),IF($B$2="R&amp;T Level 6 - Clinical Associate Professors and Clinical Readers (Vet School)",SUMIF('Points Lookup'!$AC:$AC,$B111,'Points Lookup'!$AF:$AF),IFERROR(INDEX('Points Lookup'!$B:$B,MATCH($AA111,'Points Lookup'!$AN:$AN,0)),""))))))))</f>
        <v/>
      </c>
      <c r="D111" s="81"/>
      <c r="E111" s="81"/>
      <c r="F111" s="81" t="str">
        <f ca="1">IF($B111="","",IF(AND($B$2="Salary Points 3 to 57",B111&lt;Thresholds_Rates!$C$16),"-",IF(SUMIF(Grades!$A:$A,$B$2,Grades!$BO:$BO)=0,"-",IF(AND($B$2="Salary Points 3 to 57",B111&gt;=Thresholds_Rates!$C$16),$C111*Thresholds_Rates!$F$15,IF(AND(OR($B$2="New Consultant Contract"),$B111&lt;&gt;""),$C111*Thresholds_Rates!$F$15,IF(AND(OR($B$2="Clinical Lecturer / Medical Research Fellow",$B$2="Clinical Consultant - Old Contract (GP)"),$B111&lt;&gt;""),$C111*Thresholds_Rates!$F$15,IF(OR($B$2="APM Level 7",$B$2="R&amp;T Level 7"),$C111*Thresholds_Rates!$F$15,IF(SUMIF(Grades!$A:$A,$B$2,Grades!$BO:$BO)=1,$C111*Thresholds_Rates!$F$15,""))))))))</f>
        <v/>
      </c>
      <c r="G111" s="81" t="str">
        <f ca="1">IF(B111="","",IF($B$2="Salary Points 1 to 57","-",IF(SUMIF(Grades!$A:$A,$B$2,Grades!$BP:$BP)=0,"-",IF(AND(OR($B$2="New Consultant Contract"),$B111&lt;&gt;""),$C111*Thresholds_Rates!$F$16,IF(AND(OR($B$2="Clinical Lecturer / Medical Research Fellow",$B$2="Clinical Consultant - Old Contract (GP)"),$B111&lt;&gt;""),$C111*Thresholds_Rates!$F$16,IF(AND(OR($B$2="APM Level 7",$B$2="R&amp;T Level 7"),F111&lt;&gt;""),$C111*Thresholds_Rates!$F$16,IF(SUMIF(Grades!$A:$A,$B$2,Grades!$BP:$BP)=1,$C111*Thresholds_Rates!$F$16,"")))))))</f>
        <v/>
      </c>
      <c r="H111" s="81" t="str">
        <f ca="1">IF(B111="","",IF(SUMIF(Grades!$A:$A,$B$2,Grades!$BQ:$BQ)=0,"-",IF(AND($B$2="Salary Points 1 to 57",B111&gt;Thresholds_Rates!$C$17),"-",IF(AND($B$2="Salary Points 1 to 57",B111&lt;=Thresholds_Rates!$C$17),$C111*Thresholds_Rates!$F$17,IF(AND(OR($B$2="New Consultant Contract"),$B111&lt;&gt;""),$C111*Thresholds_Rates!$F$17,IF(AND(OR($B$2="Clinical Lecturer / Medical Research Fellow",$B$2="Clinical Consultant - Old Contract (GP)"),$B111&lt;&gt;""),$C111*Thresholds_Rates!$F$17,IF(AND(OR($B$2="APM Level 7",$B$2="R&amp;T Level 7"),G111&lt;&gt;""),$C111*Thresholds_Rates!$F$17,IF(SUMIF(Grades!$A:$A,$B$2,Grades!$BQ:$BQ)=1,$C111*Thresholds_Rates!$F$17,""))))))))</f>
        <v/>
      </c>
      <c r="I111" s="81"/>
      <c r="J111" s="81" t="str">
        <f ca="1">IF(B111="","",(C111*Thresholds_Rates!$C$12))</f>
        <v/>
      </c>
      <c r="K111" s="81"/>
      <c r="L111" s="68"/>
      <c r="M111" s="81" t="str">
        <f t="shared" ca="1" si="6"/>
        <v/>
      </c>
      <c r="N111" s="81" t="str">
        <f t="shared" ca="1" si="7"/>
        <v/>
      </c>
      <c r="O111" s="81" t="str">
        <f t="shared" ca="1" si="8"/>
        <v/>
      </c>
      <c r="P111" s="81" t="str">
        <f t="shared" ca="1" si="9"/>
        <v/>
      </c>
      <c r="Q111" s="81" t="str">
        <f t="shared" ca="1" si="10"/>
        <v/>
      </c>
      <c r="S111" s="83"/>
      <c r="T111" s="84"/>
      <c r="U111" s="83"/>
      <c r="V111" s="84"/>
    </row>
    <row r="112" spans="2:22" x14ac:dyDescent="0.25">
      <c r="B112" s="68" t="str">
        <f ca="1">IFERROR(INDEX('Points Lookup'!$A:$A,MATCH($AA114,'Points Lookup'!$AN:$AN,0)),"")</f>
        <v/>
      </c>
      <c r="C112" s="81" t="str">
        <f ca="1">IF(B112="","",IF($B$2="Apprenticeship",SUMIF('Points Lookup'!$AJ:$AJ,B112,'Points Lookup'!$AL:$AL),IF(AND(OR($B$2="New Consultant Contract"),$B112&lt;&gt;""),INDEX('Points Lookup'!$T:$T,MATCH($B112,'Points Lookup'!$S:$S,0)),IF(AND(OR($B$2="Clinical Lecturer / Medical Research Fellow",$B$2="Clinical Consultant - Old Contract (GP)"),$B112&lt;&gt;""),INDEX('Points Lookup'!$Q:$Q,MATCH($B112,'Points Lookup'!$P:$P,0)),IF(AND(OR($B$2="APM Level 7",$B$2="R&amp;T Level 7",$B$2="APM Level 8",$B$2="Technical Services Level 7"),B112&lt;&gt;""),INDEX('Points Lookup'!$H:$H,MATCH($AA112,'Points Lookup'!$AN:$AN,0)),IF($B$2="R&amp;T Level 5 - Clinical Lecturers (Vet School)",SUMIF('Points Lookup'!$V:$V,$B112,'Points Lookup'!$Y:$Y),IF($B$2="R&amp;T Level 6 - Clinical Associate Professors and Clinical Readers (Vet School)",SUMIF('Points Lookup'!$AC:$AC,$B112,'Points Lookup'!$AF:$AF),IFERROR(INDEX('Points Lookup'!$B:$B,MATCH($AA112,'Points Lookup'!$AN:$AN,0)),""))))))))</f>
        <v/>
      </c>
      <c r="D112" s="81"/>
      <c r="E112" s="81"/>
      <c r="F112" s="81" t="str">
        <f ca="1">IF($B112="","",IF(AND($B$2="Salary Points 3 to 57",B112&lt;Thresholds_Rates!$C$16),"-",IF(SUMIF(Grades!$A:$A,$B$2,Grades!$BO:$BO)=0,"-",IF(AND($B$2="Salary Points 3 to 57",B112&gt;=Thresholds_Rates!$C$16),$C112*Thresholds_Rates!$F$15,IF(AND(OR($B$2="New Consultant Contract"),$B112&lt;&gt;""),$C112*Thresholds_Rates!$F$15,IF(AND(OR($B$2="Clinical Lecturer / Medical Research Fellow",$B$2="Clinical Consultant - Old Contract (GP)"),$B112&lt;&gt;""),$C112*Thresholds_Rates!$F$15,IF(OR($B$2="APM Level 7",$B$2="R&amp;T Level 7"),$C112*Thresholds_Rates!$F$15,IF(SUMIF(Grades!$A:$A,$B$2,Grades!$BO:$BO)=1,$C112*Thresholds_Rates!$F$15,""))))))))</f>
        <v/>
      </c>
      <c r="G112" s="81" t="str">
        <f ca="1">IF(B112="","",IF($B$2="Salary Points 1 to 57","-",IF(SUMIF(Grades!$A:$A,$B$2,Grades!$BP:$BP)=0,"-",IF(AND(OR($B$2="New Consultant Contract"),$B112&lt;&gt;""),$C112*Thresholds_Rates!$F$16,IF(AND(OR($B$2="Clinical Lecturer / Medical Research Fellow",$B$2="Clinical Consultant - Old Contract (GP)"),$B112&lt;&gt;""),$C112*Thresholds_Rates!$F$16,IF(AND(OR($B$2="APM Level 7",$B$2="R&amp;T Level 7"),F112&lt;&gt;""),$C112*Thresholds_Rates!$F$16,IF(SUMIF(Grades!$A:$A,$B$2,Grades!$BP:$BP)=1,$C112*Thresholds_Rates!$F$16,"")))))))</f>
        <v/>
      </c>
      <c r="H112" s="81" t="str">
        <f ca="1">IF(B112="","",IF(SUMIF(Grades!$A:$A,$B$2,Grades!$BQ:$BQ)=0,"-",IF(AND($B$2="Salary Points 1 to 57",B112&gt;Thresholds_Rates!$C$17),"-",IF(AND($B$2="Salary Points 1 to 57",B112&lt;=Thresholds_Rates!$C$17),$C112*Thresholds_Rates!$F$17,IF(AND(OR($B$2="New Consultant Contract"),$B112&lt;&gt;""),$C112*Thresholds_Rates!$F$17,IF(AND(OR($B$2="Clinical Lecturer / Medical Research Fellow",$B$2="Clinical Consultant - Old Contract (GP)"),$B112&lt;&gt;""),$C112*Thresholds_Rates!$F$17,IF(AND(OR($B$2="APM Level 7",$B$2="R&amp;T Level 7"),G112&lt;&gt;""),$C112*Thresholds_Rates!$F$17,IF(SUMIF(Grades!$A:$A,$B$2,Grades!$BQ:$BQ)=1,$C112*Thresholds_Rates!$F$17,""))))))))</f>
        <v/>
      </c>
      <c r="I112" s="81"/>
      <c r="J112" s="81" t="str">
        <f ca="1">IF(B112="","",(C112*Thresholds_Rates!$C$12))</f>
        <v/>
      </c>
      <c r="K112" s="81"/>
      <c r="L112" s="68"/>
      <c r="M112" s="81" t="str">
        <f t="shared" ca="1" si="6"/>
        <v/>
      </c>
      <c r="N112" s="81" t="str">
        <f t="shared" ca="1" si="7"/>
        <v/>
      </c>
      <c r="O112" s="81" t="str">
        <f t="shared" ca="1" si="8"/>
        <v/>
      </c>
      <c r="P112" s="81" t="str">
        <f t="shared" ca="1" si="9"/>
        <v/>
      </c>
      <c r="Q112" s="81" t="str">
        <f t="shared" ca="1" si="10"/>
        <v/>
      </c>
      <c r="S112" s="83"/>
      <c r="T112" s="84"/>
      <c r="U112" s="83"/>
      <c r="V112" s="84"/>
    </row>
    <row r="113" spans="2:22" x14ac:dyDescent="0.25">
      <c r="B113" s="68" t="str">
        <f ca="1">IFERROR(INDEX('Points Lookup'!$A:$A,MATCH($AA115,'Points Lookup'!$AN:$AN,0)),"")</f>
        <v/>
      </c>
      <c r="C113" s="81" t="str">
        <f ca="1">IF(B113="","",IF($B$2="Apprenticeship",SUMIF('Points Lookup'!$AJ:$AJ,B113,'Points Lookup'!$AL:$AL),IF(AND(OR($B$2="New Consultant Contract"),$B113&lt;&gt;""),INDEX('Points Lookup'!$T:$T,MATCH($B113,'Points Lookup'!$S:$S,0)),IF(AND(OR($B$2="Clinical Lecturer / Medical Research Fellow",$B$2="Clinical Consultant - Old Contract (GP)"),$B113&lt;&gt;""),INDEX('Points Lookup'!$Q:$Q,MATCH($B113,'Points Lookup'!$P:$P,0)),IF(AND(OR($B$2="APM Level 7",$B$2="R&amp;T Level 7",$B$2="APM Level 8",$B$2="Technical Services Level 7"),B113&lt;&gt;""),INDEX('Points Lookup'!$H:$H,MATCH($AA113,'Points Lookup'!$AN:$AN,0)),IF($B$2="R&amp;T Level 5 - Clinical Lecturers (Vet School)",SUMIF('Points Lookup'!$V:$V,$B113,'Points Lookup'!$Y:$Y),IF($B$2="R&amp;T Level 6 - Clinical Associate Professors and Clinical Readers (Vet School)",SUMIF('Points Lookup'!$AC:$AC,$B113,'Points Lookup'!$AF:$AF),IFERROR(INDEX('Points Lookup'!$B:$B,MATCH($AA113,'Points Lookup'!$AN:$AN,0)),""))))))))</f>
        <v/>
      </c>
      <c r="D113" s="81"/>
      <c r="E113" s="81"/>
      <c r="F113" s="81" t="str">
        <f ca="1">IF($B113="","",IF(AND($B$2="Salary Points 3 to 57",B113&lt;Thresholds_Rates!$C$16),"-",IF(SUMIF(Grades!$A:$A,$B$2,Grades!$BO:$BO)=0,"-",IF(AND($B$2="Salary Points 3 to 57",B113&gt;=Thresholds_Rates!$C$16),$C113*Thresholds_Rates!$F$15,IF(AND(OR($B$2="New Consultant Contract"),$B113&lt;&gt;""),$C113*Thresholds_Rates!$F$15,IF(AND(OR($B$2="Clinical Lecturer / Medical Research Fellow",$B$2="Clinical Consultant - Old Contract (GP)"),$B113&lt;&gt;""),$C113*Thresholds_Rates!$F$15,IF(OR($B$2="APM Level 7",$B$2="R&amp;T Level 7"),$C113*Thresholds_Rates!$F$15,IF(SUMIF(Grades!$A:$A,$B$2,Grades!$BO:$BO)=1,$C113*Thresholds_Rates!$F$15,""))))))))</f>
        <v/>
      </c>
      <c r="G113" s="81" t="str">
        <f ca="1">IF(B113="","",IF($B$2="Salary Points 1 to 57","-",IF(SUMIF(Grades!$A:$A,$B$2,Grades!$BP:$BP)=0,"-",IF(AND(OR($B$2="New Consultant Contract"),$B113&lt;&gt;""),$C113*Thresholds_Rates!$F$16,IF(AND(OR($B$2="Clinical Lecturer / Medical Research Fellow",$B$2="Clinical Consultant - Old Contract (GP)"),$B113&lt;&gt;""),$C113*Thresholds_Rates!$F$16,IF(AND(OR($B$2="APM Level 7",$B$2="R&amp;T Level 7"),F113&lt;&gt;""),$C113*Thresholds_Rates!$F$16,IF(SUMIF(Grades!$A:$A,$B$2,Grades!$BP:$BP)=1,$C113*Thresholds_Rates!$F$16,"")))))))</f>
        <v/>
      </c>
      <c r="H113" s="81" t="str">
        <f ca="1">IF(B113="","",IF(SUMIF(Grades!$A:$A,$B$2,Grades!$BQ:$BQ)=0,"-",IF(AND($B$2="Salary Points 1 to 57",B113&gt;Thresholds_Rates!$C$17),"-",IF(AND($B$2="Salary Points 1 to 57",B113&lt;=Thresholds_Rates!$C$17),$C113*Thresholds_Rates!$F$17,IF(AND(OR($B$2="New Consultant Contract"),$B113&lt;&gt;""),$C113*Thresholds_Rates!$F$17,IF(AND(OR($B$2="Clinical Lecturer / Medical Research Fellow",$B$2="Clinical Consultant - Old Contract (GP)"),$B113&lt;&gt;""),$C113*Thresholds_Rates!$F$17,IF(AND(OR($B$2="APM Level 7",$B$2="R&amp;T Level 7"),G113&lt;&gt;""),$C113*Thresholds_Rates!$F$17,IF(SUMIF(Grades!$A:$A,$B$2,Grades!$BQ:$BQ)=1,$C113*Thresholds_Rates!$F$17,""))))))))</f>
        <v/>
      </c>
      <c r="I113" s="81"/>
      <c r="J113" s="81" t="str">
        <f ca="1">IF(B113="","",(C113*Thresholds_Rates!$C$12))</f>
        <v/>
      </c>
      <c r="K113" s="81"/>
      <c r="L113" s="68"/>
      <c r="M113" s="81" t="str">
        <f t="shared" ca="1" si="6"/>
        <v/>
      </c>
      <c r="N113" s="81" t="str">
        <f t="shared" ca="1" si="7"/>
        <v/>
      </c>
      <c r="O113" s="81" t="str">
        <f t="shared" ca="1" si="8"/>
        <v/>
      </c>
      <c r="P113" s="81" t="str">
        <f t="shared" ca="1" si="9"/>
        <v/>
      </c>
      <c r="Q113" s="81" t="str">
        <f t="shared" ca="1" si="10"/>
        <v/>
      </c>
      <c r="S113" s="83"/>
      <c r="T113" s="84"/>
      <c r="U113" s="83"/>
      <c r="V113" s="84"/>
    </row>
    <row r="114" spans="2:22" x14ac:dyDescent="0.25">
      <c r="B114" s="68" t="str">
        <f ca="1">IFERROR(INDEX('Points Lookup'!$A:$A,MATCH($AA116,'Points Lookup'!$AN:$AN,0)),"")</f>
        <v/>
      </c>
      <c r="C114" s="81" t="str">
        <f ca="1">IF(B114="","",IF($B$2="Apprenticeship",SUMIF('Points Lookup'!$AJ:$AJ,B114,'Points Lookup'!$AL:$AL),IF(AND(OR($B$2="New Consultant Contract"),$B114&lt;&gt;""),INDEX('Points Lookup'!$T:$T,MATCH($B114,'Points Lookup'!$S:$S,0)),IF(AND(OR($B$2="Clinical Lecturer / Medical Research Fellow",$B$2="Clinical Consultant - Old Contract (GP)"),$B114&lt;&gt;""),INDEX('Points Lookup'!$Q:$Q,MATCH($B114,'Points Lookup'!$P:$P,0)),IF(AND(OR($B$2="APM Level 7",$B$2="R&amp;T Level 7",$B$2="APM Level 8",$B$2="Technical Services Level 7"),B114&lt;&gt;""),INDEX('Points Lookup'!$H:$H,MATCH($AA114,'Points Lookup'!$AN:$AN,0)),IF($B$2="R&amp;T Level 5 - Clinical Lecturers (Vet School)",SUMIF('Points Lookup'!$V:$V,$B114,'Points Lookup'!$Y:$Y),IF($B$2="R&amp;T Level 6 - Clinical Associate Professors and Clinical Readers (Vet School)",SUMIF('Points Lookup'!$AC:$AC,$B114,'Points Lookup'!$AF:$AF),IFERROR(INDEX('Points Lookup'!$B:$B,MATCH($AA114,'Points Lookup'!$AN:$AN,0)),""))))))))</f>
        <v/>
      </c>
      <c r="D114" s="81"/>
      <c r="E114" s="81"/>
      <c r="F114" s="81" t="str">
        <f ca="1">IF($B114="","",IF(AND($B$2="Salary Points 3 to 57",B114&lt;Thresholds_Rates!$C$16),"-",IF(SUMIF(Grades!$A:$A,$B$2,Grades!$BO:$BO)=0,"-",IF(AND($B$2="Salary Points 3 to 57",B114&gt;=Thresholds_Rates!$C$16),$C114*Thresholds_Rates!$F$15,IF(AND(OR($B$2="New Consultant Contract"),$B114&lt;&gt;""),$C114*Thresholds_Rates!$F$15,IF(AND(OR($B$2="Clinical Lecturer / Medical Research Fellow",$B$2="Clinical Consultant - Old Contract (GP)"),$B114&lt;&gt;""),$C114*Thresholds_Rates!$F$15,IF(OR($B$2="APM Level 7",$B$2="R&amp;T Level 7"),$C114*Thresholds_Rates!$F$15,IF(SUMIF(Grades!$A:$A,$B$2,Grades!$BO:$BO)=1,$C114*Thresholds_Rates!$F$15,""))))))))</f>
        <v/>
      </c>
      <c r="G114" s="81" t="str">
        <f ca="1">IF(B114="","",IF($B$2="Salary Points 1 to 57","-",IF(SUMIF(Grades!$A:$A,$B$2,Grades!$BP:$BP)=0,"-",IF(AND(OR($B$2="New Consultant Contract"),$B114&lt;&gt;""),$C114*Thresholds_Rates!$F$16,IF(AND(OR($B$2="Clinical Lecturer / Medical Research Fellow",$B$2="Clinical Consultant - Old Contract (GP)"),$B114&lt;&gt;""),$C114*Thresholds_Rates!$F$16,IF(AND(OR($B$2="APM Level 7",$B$2="R&amp;T Level 7"),F114&lt;&gt;""),$C114*Thresholds_Rates!$F$16,IF(SUMIF(Grades!$A:$A,$B$2,Grades!$BP:$BP)=1,$C114*Thresholds_Rates!$F$16,"")))))))</f>
        <v/>
      </c>
      <c r="H114" s="81" t="str">
        <f ca="1">IF(B114="","",IF(SUMIF(Grades!$A:$A,$B$2,Grades!$BQ:$BQ)=0,"-",IF(AND($B$2="Salary Points 1 to 57",B114&gt;Thresholds_Rates!$C$17),"-",IF(AND($B$2="Salary Points 1 to 57",B114&lt;=Thresholds_Rates!$C$17),$C114*Thresholds_Rates!$F$17,IF(AND(OR($B$2="New Consultant Contract"),$B114&lt;&gt;""),$C114*Thresholds_Rates!$F$17,IF(AND(OR($B$2="Clinical Lecturer / Medical Research Fellow",$B$2="Clinical Consultant - Old Contract (GP)"),$B114&lt;&gt;""),$C114*Thresholds_Rates!$F$17,IF(AND(OR($B$2="APM Level 7",$B$2="R&amp;T Level 7"),G114&lt;&gt;""),$C114*Thresholds_Rates!$F$17,IF(SUMIF(Grades!$A:$A,$B$2,Grades!$BQ:$BQ)=1,$C114*Thresholds_Rates!$F$17,""))))))))</f>
        <v/>
      </c>
      <c r="I114" s="81"/>
      <c r="J114" s="81" t="str">
        <f ca="1">IF(B114="","",(C114*Thresholds_Rates!$C$12))</f>
        <v/>
      </c>
      <c r="K114" s="81"/>
      <c r="L114" s="68"/>
      <c r="M114" s="81" t="str">
        <f t="shared" ca="1" si="6"/>
        <v/>
      </c>
      <c r="N114" s="81" t="str">
        <f t="shared" ca="1" si="7"/>
        <v/>
      </c>
      <c r="O114" s="81" t="str">
        <f t="shared" ca="1" si="8"/>
        <v/>
      </c>
      <c r="P114" s="81" t="str">
        <f t="shared" ca="1" si="9"/>
        <v/>
      </c>
      <c r="Q114" s="81" t="str">
        <f t="shared" ca="1" si="10"/>
        <v/>
      </c>
      <c r="S114" s="83"/>
      <c r="T114" s="84"/>
      <c r="U114" s="83"/>
      <c r="V114" s="84"/>
    </row>
    <row r="115" spans="2:22" x14ac:dyDescent="0.25">
      <c r="B115" s="68" t="str">
        <f ca="1">IFERROR(INDEX('Points Lookup'!$A:$A,MATCH($AA117,'Points Lookup'!$AN:$AN,0)),"")</f>
        <v/>
      </c>
      <c r="C115" s="81" t="str">
        <f ca="1">IF(B115="","",IF($B$2="Apprenticeship",SUMIF('Points Lookup'!$AJ:$AJ,B115,'Points Lookup'!$AL:$AL),IF(AND(OR($B$2="New Consultant Contract"),$B115&lt;&gt;""),INDEX('Points Lookup'!$T:$T,MATCH($B115,'Points Lookup'!$S:$S,0)),IF(AND(OR($B$2="Clinical Lecturer / Medical Research Fellow",$B$2="Clinical Consultant - Old Contract (GP)"),$B115&lt;&gt;""),INDEX('Points Lookup'!$Q:$Q,MATCH($B115,'Points Lookup'!$P:$P,0)),IF(AND(OR($B$2="APM Level 7",$B$2="R&amp;T Level 7",$B$2="APM Level 8",$B$2="Technical Services Level 7"),B115&lt;&gt;""),INDEX('Points Lookup'!$H:$H,MATCH($AA115,'Points Lookup'!$AN:$AN,0)),IF($B$2="R&amp;T Level 5 - Clinical Lecturers (Vet School)",SUMIF('Points Lookup'!$V:$V,$B115,'Points Lookup'!$Y:$Y),IF($B$2="R&amp;T Level 6 - Clinical Associate Professors and Clinical Readers (Vet School)",SUMIF('Points Lookup'!$AC:$AC,$B115,'Points Lookup'!$AF:$AF),IFERROR(INDEX('Points Lookup'!$B:$B,MATCH($AA115,'Points Lookup'!$AN:$AN,0)),""))))))))</f>
        <v/>
      </c>
      <c r="D115" s="81"/>
      <c r="E115" s="81"/>
      <c r="F115" s="81" t="str">
        <f ca="1">IF($B115="","",IF(AND($B$2="Salary Points 3 to 57",B115&lt;Thresholds_Rates!$C$16),"-",IF(SUMIF(Grades!$A:$A,$B$2,Grades!$BO:$BO)=0,"-",IF(AND($B$2="Salary Points 3 to 57",B115&gt;=Thresholds_Rates!$C$16),$C115*Thresholds_Rates!$F$15,IF(AND(OR($B$2="New Consultant Contract"),$B115&lt;&gt;""),$C115*Thresholds_Rates!$F$15,IF(AND(OR($B$2="Clinical Lecturer / Medical Research Fellow",$B$2="Clinical Consultant - Old Contract (GP)"),$B115&lt;&gt;""),$C115*Thresholds_Rates!$F$15,IF(OR($B$2="APM Level 7",$B$2="R&amp;T Level 7"),$C115*Thresholds_Rates!$F$15,IF(SUMIF(Grades!$A:$A,$B$2,Grades!$BO:$BO)=1,$C115*Thresholds_Rates!$F$15,""))))))))</f>
        <v/>
      </c>
      <c r="G115" s="81" t="str">
        <f ca="1">IF(B115="","",IF($B$2="Salary Points 1 to 57","-",IF(SUMIF(Grades!$A:$A,$B$2,Grades!$BP:$BP)=0,"-",IF(AND(OR($B$2="New Consultant Contract"),$B115&lt;&gt;""),$C115*Thresholds_Rates!$F$16,IF(AND(OR($B$2="Clinical Lecturer / Medical Research Fellow",$B$2="Clinical Consultant - Old Contract (GP)"),$B115&lt;&gt;""),$C115*Thresholds_Rates!$F$16,IF(AND(OR($B$2="APM Level 7",$B$2="R&amp;T Level 7"),F115&lt;&gt;""),$C115*Thresholds_Rates!$F$16,IF(SUMIF(Grades!$A:$A,$B$2,Grades!$BP:$BP)=1,$C115*Thresholds_Rates!$F$16,"")))))))</f>
        <v/>
      </c>
      <c r="H115" s="81" t="str">
        <f ca="1">IF(B115="","",IF(SUMIF(Grades!$A:$A,$B$2,Grades!$BQ:$BQ)=0,"-",IF(AND($B$2="Salary Points 1 to 57",B115&gt;Thresholds_Rates!$C$17),"-",IF(AND($B$2="Salary Points 1 to 57",B115&lt;=Thresholds_Rates!$C$17),$C115*Thresholds_Rates!$F$17,IF(AND(OR($B$2="New Consultant Contract"),$B115&lt;&gt;""),$C115*Thresholds_Rates!$F$17,IF(AND(OR($B$2="Clinical Lecturer / Medical Research Fellow",$B$2="Clinical Consultant - Old Contract (GP)"),$B115&lt;&gt;""),$C115*Thresholds_Rates!$F$17,IF(AND(OR($B$2="APM Level 7",$B$2="R&amp;T Level 7"),G115&lt;&gt;""),$C115*Thresholds_Rates!$F$17,IF(SUMIF(Grades!$A:$A,$B$2,Grades!$BQ:$BQ)=1,$C115*Thresholds_Rates!$F$17,""))))))))</f>
        <v/>
      </c>
      <c r="I115" s="81"/>
      <c r="J115" s="81" t="str">
        <f ca="1">IF(B115="","",(C115*Thresholds_Rates!$C$12))</f>
        <v/>
      </c>
      <c r="K115" s="81"/>
      <c r="L115" s="68"/>
      <c r="M115" s="81" t="str">
        <f t="shared" ca="1" si="6"/>
        <v/>
      </c>
      <c r="N115" s="81" t="str">
        <f t="shared" ca="1" si="7"/>
        <v/>
      </c>
      <c r="O115" s="81" t="str">
        <f t="shared" ca="1" si="8"/>
        <v/>
      </c>
      <c r="P115" s="81" t="str">
        <f t="shared" ca="1" si="9"/>
        <v/>
      </c>
      <c r="Q115" s="81" t="str">
        <f t="shared" ca="1" si="10"/>
        <v/>
      </c>
      <c r="S115" s="83"/>
      <c r="T115" s="84"/>
      <c r="U115" s="83"/>
      <c r="V115" s="84"/>
    </row>
    <row r="116" spans="2:22" x14ac:dyDescent="0.25">
      <c r="B116" s="68" t="str">
        <f ca="1">IFERROR(INDEX('Points Lookup'!$A:$A,MATCH($AA118,'Points Lookup'!$AN:$AN,0)),"")</f>
        <v/>
      </c>
      <c r="C116" s="81" t="str">
        <f ca="1">IF(B116="","",IF($B$2="Apprenticeship",SUMIF('Points Lookup'!$AJ:$AJ,B116,'Points Lookup'!$AL:$AL),IF(AND(OR($B$2="New Consultant Contract"),$B116&lt;&gt;""),INDEX('Points Lookup'!$T:$T,MATCH($B116,'Points Lookup'!$S:$S,0)),IF(AND(OR($B$2="Clinical Lecturer / Medical Research Fellow",$B$2="Clinical Consultant - Old Contract (GP)"),$B116&lt;&gt;""),INDEX('Points Lookup'!$Q:$Q,MATCH($B116,'Points Lookup'!$P:$P,0)),IF(AND(OR($B$2="APM Level 7",$B$2="R&amp;T Level 7",$B$2="APM Level 8",$B$2="Technical Services Level 7"),B116&lt;&gt;""),INDEX('Points Lookup'!$H:$H,MATCH($AA116,'Points Lookup'!$AN:$AN,0)),IF($B$2="R&amp;T Level 5 - Clinical Lecturers (Vet School)",SUMIF('Points Lookup'!$V:$V,$B116,'Points Lookup'!$Y:$Y),IF($B$2="R&amp;T Level 6 - Clinical Associate Professors and Clinical Readers (Vet School)",SUMIF('Points Lookup'!$AC:$AC,$B116,'Points Lookup'!$AF:$AF),IFERROR(INDEX('Points Lookup'!$B:$B,MATCH($AA116,'Points Lookup'!$AN:$AN,0)),""))))))))</f>
        <v/>
      </c>
      <c r="D116" s="81"/>
      <c r="E116" s="81"/>
      <c r="F116" s="81" t="str">
        <f ca="1">IF($B116="","",IF(AND($B$2="Salary Points 3 to 57",B116&lt;Thresholds_Rates!$C$16),"-",IF(SUMIF(Grades!$A:$A,$B$2,Grades!$BO:$BO)=0,"-",IF(AND($B$2="Salary Points 3 to 57",B116&gt;=Thresholds_Rates!$C$16),$C116*Thresholds_Rates!$F$15,IF(AND(OR($B$2="New Consultant Contract"),$B116&lt;&gt;""),$C116*Thresholds_Rates!$F$15,IF(AND(OR($B$2="Clinical Lecturer / Medical Research Fellow",$B$2="Clinical Consultant - Old Contract (GP)"),$B116&lt;&gt;""),$C116*Thresholds_Rates!$F$15,IF(OR($B$2="APM Level 7",$B$2="R&amp;T Level 7"),$C116*Thresholds_Rates!$F$15,IF(SUMIF(Grades!$A:$A,$B$2,Grades!$BO:$BO)=1,$C116*Thresholds_Rates!$F$15,""))))))))</f>
        <v/>
      </c>
      <c r="G116" s="81" t="str">
        <f ca="1">IF(B116="","",IF($B$2="Salary Points 1 to 57","-",IF(SUMIF(Grades!$A:$A,$B$2,Grades!$BP:$BP)=0,"-",IF(AND(OR($B$2="New Consultant Contract"),$B116&lt;&gt;""),$C116*Thresholds_Rates!$F$16,IF(AND(OR($B$2="Clinical Lecturer / Medical Research Fellow",$B$2="Clinical Consultant - Old Contract (GP)"),$B116&lt;&gt;""),$C116*Thresholds_Rates!$F$16,IF(AND(OR($B$2="APM Level 7",$B$2="R&amp;T Level 7"),F116&lt;&gt;""),$C116*Thresholds_Rates!$F$16,IF(SUMIF(Grades!$A:$A,$B$2,Grades!$BP:$BP)=1,$C116*Thresholds_Rates!$F$16,"")))))))</f>
        <v/>
      </c>
      <c r="H116" s="81" t="str">
        <f ca="1">IF(B116="","",IF(SUMIF(Grades!$A:$A,$B$2,Grades!$BQ:$BQ)=0,"-",IF(AND($B$2="Salary Points 1 to 57",B116&gt;Thresholds_Rates!$C$17),"-",IF(AND($B$2="Salary Points 1 to 57",B116&lt;=Thresholds_Rates!$C$17),$C116*Thresholds_Rates!$F$17,IF(AND(OR($B$2="New Consultant Contract"),$B116&lt;&gt;""),$C116*Thresholds_Rates!$F$17,IF(AND(OR($B$2="Clinical Lecturer / Medical Research Fellow",$B$2="Clinical Consultant - Old Contract (GP)"),$B116&lt;&gt;""),$C116*Thresholds_Rates!$F$17,IF(AND(OR($B$2="APM Level 7",$B$2="R&amp;T Level 7"),G116&lt;&gt;""),$C116*Thresholds_Rates!$F$17,IF(SUMIF(Grades!$A:$A,$B$2,Grades!$BQ:$BQ)=1,$C116*Thresholds_Rates!$F$17,""))))))))</f>
        <v/>
      </c>
      <c r="I116" s="81"/>
      <c r="J116" s="81" t="str">
        <f ca="1">IF(B116="","",(C116*Thresholds_Rates!$C$12))</f>
        <v/>
      </c>
      <c r="K116" s="81"/>
      <c r="L116" s="68"/>
      <c r="M116" s="81" t="str">
        <f t="shared" ca="1" si="6"/>
        <v/>
      </c>
      <c r="N116" s="81" t="str">
        <f t="shared" ca="1" si="7"/>
        <v/>
      </c>
      <c r="O116" s="81" t="str">
        <f t="shared" ca="1" si="8"/>
        <v/>
      </c>
      <c r="P116" s="81" t="str">
        <f t="shared" ca="1" si="9"/>
        <v/>
      </c>
      <c r="Q116" s="81" t="str">
        <f t="shared" ca="1" si="10"/>
        <v/>
      </c>
      <c r="S116" s="83"/>
      <c r="T116" s="84"/>
      <c r="U116" s="83"/>
      <c r="V116" s="84"/>
    </row>
    <row r="117" spans="2:22" x14ac:dyDescent="0.25">
      <c r="B117" s="68" t="str">
        <f ca="1">IFERROR(INDEX('Points Lookup'!$A:$A,MATCH($AA119,'Points Lookup'!$AN:$AN,0)),"")</f>
        <v/>
      </c>
      <c r="C117" s="81" t="str">
        <f ca="1">IF(B117="","",IF($B$2="Apprenticeship",SUMIF('Points Lookup'!$AJ:$AJ,B117,'Points Lookup'!$AL:$AL),IF(AND(OR($B$2="New Consultant Contract"),$B117&lt;&gt;""),INDEX('Points Lookup'!$T:$T,MATCH($B117,'Points Lookup'!$S:$S,0)),IF(AND(OR($B$2="Clinical Lecturer / Medical Research Fellow",$B$2="Clinical Consultant - Old Contract (GP)"),$B117&lt;&gt;""),INDEX('Points Lookup'!$Q:$Q,MATCH($B117,'Points Lookup'!$P:$P,0)),IF(AND(OR($B$2="APM Level 7",$B$2="R&amp;T Level 7",$B$2="APM Level 8",$B$2="Technical Services Level 7"),B117&lt;&gt;""),INDEX('Points Lookup'!$H:$H,MATCH($AA117,'Points Lookup'!$AN:$AN,0)),IF($B$2="R&amp;T Level 5 - Clinical Lecturers (Vet School)",SUMIF('Points Lookup'!$V:$V,$B117,'Points Lookup'!$Y:$Y),IF($B$2="R&amp;T Level 6 - Clinical Associate Professors and Clinical Readers (Vet School)",SUMIF('Points Lookup'!$AC:$AC,$B117,'Points Lookup'!$AF:$AF),IFERROR(INDEX('Points Lookup'!$B:$B,MATCH($AA117,'Points Lookup'!$AN:$AN,0)),""))))))))</f>
        <v/>
      </c>
      <c r="D117" s="81"/>
      <c r="E117" s="81"/>
      <c r="F117" s="81" t="str">
        <f ca="1">IF($B117="","",IF(AND($B$2="Salary Points 3 to 57",B117&lt;Thresholds_Rates!$C$16),"-",IF(SUMIF(Grades!$A:$A,$B$2,Grades!$BO:$BO)=0,"-",IF(AND($B$2="Salary Points 3 to 57",B117&gt;=Thresholds_Rates!$C$16),$C117*Thresholds_Rates!$F$15,IF(AND(OR($B$2="New Consultant Contract"),$B117&lt;&gt;""),$C117*Thresholds_Rates!$F$15,IF(AND(OR($B$2="Clinical Lecturer / Medical Research Fellow",$B$2="Clinical Consultant - Old Contract (GP)"),$B117&lt;&gt;""),$C117*Thresholds_Rates!$F$15,IF(OR($B$2="APM Level 7",$B$2="R&amp;T Level 7"),$C117*Thresholds_Rates!$F$15,IF(SUMIF(Grades!$A:$A,$B$2,Grades!$BO:$BO)=1,$C117*Thresholds_Rates!$F$15,""))))))))</f>
        <v/>
      </c>
      <c r="G117" s="81" t="str">
        <f ca="1">IF(B117="","",IF($B$2="Salary Points 1 to 57","-",IF(SUMIF(Grades!$A:$A,$B$2,Grades!$BP:$BP)=0,"-",IF(AND(OR($B$2="New Consultant Contract"),$B117&lt;&gt;""),$C117*Thresholds_Rates!$F$16,IF(AND(OR($B$2="Clinical Lecturer / Medical Research Fellow",$B$2="Clinical Consultant - Old Contract (GP)"),$B117&lt;&gt;""),$C117*Thresholds_Rates!$F$16,IF(AND(OR($B$2="APM Level 7",$B$2="R&amp;T Level 7"),F117&lt;&gt;""),$C117*Thresholds_Rates!$F$16,IF(SUMIF(Grades!$A:$A,$B$2,Grades!$BP:$BP)=1,$C117*Thresholds_Rates!$F$16,"")))))))</f>
        <v/>
      </c>
      <c r="H117" s="81" t="str">
        <f ca="1">IF(B117="","",IF(SUMIF(Grades!$A:$A,$B$2,Grades!$BQ:$BQ)=0,"-",IF(AND($B$2="Salary Points 1 to 57",B117&gt;Thresholds_Rates!$C$17),"-",IF(AND($B$2="Salary Points 1 to 57",B117&lt;=Thresholds_Rates!$C$17),$C117*Thresholds_Rates!$F$17,IF(AND(OR($B$2="New Consultant Contract"),$B117&lt;&gt;""),$C117*Thresholds_Rates!$F$17,IF(AND(OR($B$2="Clinical Lecturer / Medical Research Fellow",$B$2="Clinical Consultant - Old Contract (GP)"),$B117&lt;&gt;""),$C117*Thresholds_Rates!$F$17,IF(AND(OR($B$2="APM Level 7",$B$2="R&amp;T Level 7"),G117&lt;&gt;""),$C117*Thresholds_Rates!$F$17,IF(SUMIF(Grades!$A:$A,$B$2,Grades!$BQ:$BQ)=1,$C117*Thresholds_Rates!$F$17,""))))))))</f>
        <v/>
      </c>
      <c r="I117" s="81"/>
      <c r="J117" s="81" t="str">
        <f ca="1">IF(B117="","",(C117*Thresholds_Rates!$C$12))</f>
        <v/>
      </c>
      <c r="K117" s="81"/>
      <c r="L117" s="68"/>
      <c r="M117" s="81" t="str">
        <f t="shared" ca="1" si="6"/>
        <v/>
      </c>
      <c r="N117" s="81" t="str">
        <f t="shared" ca="1" si="7"/>
        <v/>
      </c>
      <c r="O117" s="81" t="str">
        <f t="shared" ca="1" si="8"/>
        <v/>
      </c>
      <c r="P117" s="81" t="str">
        <f t="shared" ca="1" si="9"/>
        <v/>
      </c>
      <c r="Q117" s="81" t="str">
        <f t="shared" ca="1" si="10"/>
        <v/>
      </c>
      <c r="S117" s="83"/>
      <c r="T117" s="84"/>
      <c r="U117" s="83"/>
      <c r="V117" s="84"/>
    </row>
    <row r="118" spans="2:22" x14ac:dyDescent="0.25">
      <c r="B118" s="68" t="str">
        <f ca="1">IFERROR(INDEX('Points Lookup'!$A:$A,MATCH($AA120,'Points Lookup'!$AN:$AN,0)),"")</f>
        <v/>
      </c>
      <c r="C118" s="81" t="str">
        <f ca="1">IF(B118="","",IF($B$2="Apprenticeship",SUMIF('Points Lookup'!$AJ:$AJ,B118,'Points Lookup'!$AL:$AL),IF(AND(OR($B$2="New Consultant Contract"),$B118&lt;&gt;""),INDEX('Points Lookup'!$T:$T,MATCH($B118,'Points Lookup'!$S:$S,0)),IF(AND(OR($B$2="Clinical Lecturer / Medical Research Fellow",$B$2="Clinical Consultant - Old Contract (GP)"),$B118&lt;&gt;""),INDEX('Points Lookup'!$Q:$Q,MATCH($B118,'Points Lookup'!$P:$P,0)),IF(AND(OR($B$2="APM Level 7",$B$2="R&amp;T Level 7",$B$2="APM Level 8",$B$2="Technical Services Level 7"),B118&lt;&gt;""),INDEX('Points Lookup'!$H:$H,MATCH($AA118,'Points Lookup'!$AN:$AN,0)),IF($B$2="R&amp;T Level 5 - Clinical Lecturers (Vet School)",SUMIF('Points Lookup'!$V:$V,$B118,'Points Lookup'!$Y:$Y),IF($B$2="R&amp;T Level 6 - Clinical Associate Professors and Clinical Readers (Vet School)",SUMIF('Points Lookup'!$AC:$AC,$B118,'Points Lookup'!$AF:$AF),IFERROR(INDEX('Points Lookup'!$B:$B,MATCH($AA118,'Points Lookup'!$AN:$AN,0)),""))))))))</f>
        <v/>
      </c>
      <c r="D118" s="81"/>
      <c r="E118" s="81"/>
      <c r="F118" s="81" t="str">
        <f ca="1">IF($B118="","",IF(AND($B$2="Salary Points 3 to 57",B118&lt;Thresholds_Rates!$C$16),"-",IF(SUMIF(Grades!$A:$A,$B$2,Grades!$BO:$BO)=0,"-",IF(AND($B$2="Salary Points 3 to 57",B118&gt;=Thresholds_Rates!$C$16),$C118*Thresholds_Rates!$F$15,IF(AND(OR($B$2="New Consultant Contract"),$B118&lt;&gt;""),$C118*Thresholds_Rates!$F$15,IF(AND(OR($B$2="Clinical Lecturer / Medical Research Fellow",$B$2="Clinical Consultant - Old Contract (GP)"),$B118&lt;&gt;""),$C118*Thresholds_Rates!$F$15,IF(OR($B$2="APM Level 7",$B$2="R&amp;T Level 7"),$C118*Thresholds_Rates!$F$15,IF(SUMIF(Grades!$A:$A,$B$2,Grades!$BO:$BO)=1,$C118*Thresholds_Rates!$F$15,""))))))))</f>
        <v/>
      </c>
      <c r="G118" s="81" t="str">
        <f ca="1">IF(B118="","",IF($B$2="Salary Points 1 to 57","-",IF(SUMIF(Grades!$A:$A,$B$2,Grades!$BP:$BP)=0,"-",IF(AND(OR($B$2="New Consultant Contract"),$B118&lt;&gt;""),$C118*Thresholds_Rates!$F$16,IF(AND(OR($B$2="Clinical Lecturer / Medical Research Fellow",$B$2="Clinical Consultant - Old Contract (GP)"),$B118&lt;&gt;""),$C118*Thresholds_Rates!$F$16,IF(AND(OR($B$2="APM Level 7",$B$2="R&amp;T Level 7"),F118&lt;&gt;""),$C118*Thresholds_Rates!$F$16,IF(SUMIF(Grades!$A:$A,$B$2,Grades!$BP:$BP)=1,$C118*Thresholds_Rates!$F$16,"")))))))</f>
        <v/>
      </c>
      <c r="H118" s="81" t="str">
        <f ca="1">IF(B118="","",IF(SUMIF(Grades!$A:$A,$B$2,Grades!$BQ:$BQ)=0,"-",IF(AND($B$2="Salary Points 1 to 57",B118&gt;Thresholds_Rates!$C$17),"-",IF(AND($B$2="Salary Points 1 to 57",B118&lt;=Thresholds_Rates!$C$17),$C118*Thresholds_Rates!$F$17,IF(AND(OR($B$2="New Consultant Contract"),$B118&lt;&gt;""),$C118*Thresholds_Rates!$F$17,IF(AND(OR($B$2="Clinical Lecturer / Medical Research Fellow",$B$2="Clinical Consultant - Old Contract (GP)"),$B118&lt;&gt;""),$C118*Thresholds_Rates!$F$17,IF(AND(OR($B$2="APM Level 7",$B$2="R&amp;T Level 7"),G118&lt;&gt;""),$C118*Thresholds_Rates!$F$17,IF(SUMIF(Grades!$A:$A,$B$2,Grades!$BQ:$BQ)=1,$C118*Thresholds_Rates!$F$17,""))))))))</f>
        <v/>
      </c>
      <c r="I118" s="81"/>
      <c r="J118" s="81" t="str">
        <f ca="1">IF(B118="","",(C118*Thresholds_Rates!$C$12))</f>
        <v/>
      </c>
      <c r="K118" s="81"/>
      <c r="L118" s="68"/>
      <c r="M118" s="81" t="str">
        <f t="shared" ca="1" si="6"/>
        <v/>
      </c>
      <c r="N118" s="81" t="str">
        <f t="shared" ca="1" si="7"/>
        <v/>
      </c>
      <c r="O118" s="81" t="str">
        <f t="shared" ca="1" si="8"/>
        <v/>
      </c>
      <c r="P118" s="81" t="str">
        <f t="shared" ca="1" si="9"/>
        <v/>
      </c>
      <c r="Q118" s="81" t="str">
        <f t="shared" ca="1" si="10"/>
        <v/>
      </c>
      <c r="S118" s="83"/>
      <c r="T118" s="84"/>
      <c r="U118" s="83"/>
      <c r="V118" s="84"/>
    </row>
    <row r="119" spans="2:22" x14ac:dyDescent="0.25">
      <c r="B119" s="68" t="str">
        <f ca="1">IFERROR(INDEX('Points Lookup'!$A:$A,MATCH($AA121,'Points Lookup'!$AN:$AN,0)),"")</f>
        <v/>
      </c>
      <c r="C119" s="81" t="str">
        <f ca="1">IF(B119="","",IF($B$2="Apprenticeship",SUMIF('Points Lookup'!$AJ:$AJ,B119,'Points Lookup'!$AL:$AL),IF(AND(OR($B$2="New Consultant Contract"),$B119&lt;&gt;""),INDEX('Points Lookup'!$T:$T,MATCH($B119,'Points Lookup'!$S:$S,0)),IF(AND(OR($B$2="Clinical Lecturer / Medical Research Fellow",$B$2="Clinical Consultant - Old Contract (GP)"),$B119&lt;&gt;""),INDEX('Points Lookup'!$Q:$Q,MATCH($B119,'Points Lookup'!$P:$P,0)),IF(AND(OR($B$2="APM Level 7",$B$2="R&amp;T Level 7",$B$2="APM Level 8",$B$2="Technical Services Level 7"),B119&lt;&gt;""),INDEX('Points Lookup'!$H:$H,MATCH($AA119,'Points Lookup'!$AN:$AN,0)),IF($B$2="R&amp;T Level 5 - Clinical Lecturers (Vet School)",SUMIF('Points Lookup'!$V:$V,$B119,'Points Lookup'!$Y:$Y),IF($B$2="R&amp;T Level 6 - Clinical Associate Professors and Clinical Readers (Vet School)",SUMIF('Points Lookup'!$AC:$AC,$B119,'Points Lookup'!$AF:$AF),IFERROR(INDEX('Points Lookup'!$B:$B,MATCH($AA119,'Points Lookup'!$AN:$AN,0)),""))))))))</f>
        <v/>
      </c>
      <c r="D119" s="81"/>
      <c r="E119" s="81"/>
      <c r="F119" s="81" t="str">
        <f ca="1">IF($B119="","",IF(AND($B$2="Salary Points 3 to 57",B119&lt;Thresholds_Rates!$C$16),"-",IF(SUMIF(Grades!$A:$A,$B$2,Grades!$BO:$BO)=0,"-",IF(AND($B$2="Salary Points 3 to 57",B119&gt;=Thresholds_Rates!$C$16),$C119*Thresholds_Rates!$F$15,IF(AND(OR($B$2="New Consultant Contract"),$B119&lt;&gt;""),$C119*Thresholds_Rates!$F$15,IF(AND(OR($B$2="Clinical Lecturer / Medical Research Fellow",$B$2="Clinical Consultant - Old Contract (GP)"),$B119&lt;&gt;""),$C119*Thresholds_Rates!$F$15,IF(OR($B$2="APM Level 7",$B$2="R&amp;T Level 7"),$C119*Thresholds_Rates!$F$15,IF(SUMIF(Grades!$A:$A,$B$2,Grades!$BO:$BO)=1,$C119*Thresholds_Rates!$F$15,""))))))))</f>
        <v/>
      </c>
      <c r="G119" s="81" t="str">
        <f ca="1">IF(B119="","",IF($B$2="Salary Points 1 to 57","-",IF(SUMIF(Grades!$A:$A,$B$2,Grades!$BP:$BP)=0,"-",IF(AND(OR($B$2="New Consultant Contract"),$B119&lt;&gt;""),$C119*Thresholds_Rates!$F$16,IF(AND(OR($B$2="Clinical Lecturer / Medical Research Fellow",$B$2="Clinical Consultant - Old Contract (GP)"),$B119&lt;&gt;""),$C119*Thresholds_Rates!$F$16,IF(AND(OR($B$2="APM Level 7",$B$2="R&amp;T Level 7"),F119&lt;&gt;""),$C119*Thresholds_Rates!$F$16,IF(SUMIF(Grades!$A:$A,$B$2,Grades!$BP:$BP)=1,$C119*Thresholds_Rates!$F$16,"")))))))</f>
        <v/>
      </c>
      <c r="H119" s="81" t="str">
        <f ca="1">IF(B119="","",IF(SUMIF(Grades!$A:$A,$B$2,Grades!$BQ:$BQ)=0,"-",IF(AND($B$2="Salary Points 1 to 57",B119&gt;Thresholds_Rates!$C$17),"-",IF(AND($B$2="Salary Points 1 to 57",B119&lt;=Thresholds_Rates!$C$17),$C119*Thresholds_Rates!$F$17,IF(AND(OR($B$2="New Consultant Contract"),$B119&lt;&gt;""),$C119*Thresholds_Rates!$F$17,IF(AND(OR($B$2="Clinical Lecturer / Medical Research Fellow",$B$2="Clinical Consultant - Old Contract (GP)"),$B119&lt;&gt;""),$C119*Thresholds_Rates!$F$17,IF(AND(OR($B$2="APM Level 7",$B$2="R&amp;T Level 7"),G119&lt;&gt;""),$C119*Thresholds_Rates!$F$17,IF(SUMIF(Grades!$A:$A,$B$2,Grades!$BQ:$BQ)=1,$C119*Thresholds_Rates!$F$17,""))))))))</f>
        <v/>
      </c>
      <c r="I119" s="81"/>
      <c r="J119" s="81" t="str">
        <f ca="1">IF(B119="","",(C119*Thresholds_Rates!$C$12))</f>
        <v/>
      </c>
      <c r="K119" s="81"/>
      <c r="L119" s="68"/>
      <c r="M119" s="81" t="str">
        <f t="shared" ca="1" si="6"/>
        <v/>
      </c>
      <c r="N119" s="81" t="str">
        <f t="shared" ca="1" si="7"/>
        <v/>
      </c>
      <c r="O119" s="81" t="str">
        <f t="shared" ca="1" si="8"/>
        <v/>
      </c>
      <c r="P119" s="81" t="str">
        <f t="shared" ca="1" si="9"/>
        <v/>
      </c>
      <c r="Q119" s="81" t="str">
        <f t="shared" ca="1" si="10"/>
        <v/>
      </c>
      <c r="S119" s="83"/>
      <c r="T119" s="84"/>
      <c r="U119" s="83"/>
      <c r="V119" s="84"/>
    </row>
    <row r="120" spans="2:22" x14ac:dyDescent="0.25">
      <c r="B120" s="68" t="str">
        <f ca="1">IFERROR(INDEX('Points Lookup'!$A:$A,MATCH($AA122,'Points Lookup'!$AN:$AN,0)),"")</f>
        <v/>
      </c>
      <c r="C120" s="81" t="str">
        <f ca="1">IF(B120="","",IF($B$2="Apprenticeship",SUMIF('Points Lookup'!$AJ:$AJ,B120,'Points Lookup'!$AL:$AL),IF(AND(OR($B$2="New Consultant Contract"),$B120&lt;&gt;""),INDEX('Points Lookup'!$T:$T,MATCH($B120,'Points Lookup'!$S:$S,0)),IF(AND(OR($B$2="Clinical Lecturer / Medical Research Fellow",$B$2="Clinical Consultant - Old Contract (GP)"),$B120&lt;&gt;""),INDEX('Points Lookup'!$Q:$Q,MATCH($B120,'Points Lookup'!$P:$P,0)),IF(AND(OR($B$2="APM Level 7",$B$2="R&amp;T Level 7",$B$2="APM Level 8",$B$2="Technical Services Level 7"),B120&lt;&gt;""),INDEX('Points Lookup'!$H:$H,MATCH($AA120,'Points Lookup'!$AN:$AN,0)),IF($B$2="R&amp;T Level 5 - Clinical Lecturers (Vet School)",SUMIF('Points Lookup'!$V:$V,$B120,'Points Lookup'!$Y:$Y),IF($B$2="R&amp;T Level 6 - Clinical Associate Professors and Clinical Readers (Vet School)",SUMIF('Points Lookup'!$AC:$AC,$B120,'Points Lookup'!$AF:$AF),IFERROR(INDEX('Points Lookup'!$B:$B,MATCH($AA120,'Points Lookup'!$AN:$AN,0)),""))))))))</f>
        <v/>
      </c>
      <c r="D120" s="81"/>
      <c r="E120" s="81"/>
      <c r="F120" s="81" t="str">
        <f ca="1">IF($B120="","",IF(AND($B$2="Salary Points 3 to 57",B120&lt;Thresholds_Rates!$C$16),"-",IF(SUMIF(Grades!$A:$A,$B$2,Grades!$BO:$BO)=0,"-",IF(AND($B$2="Salary Points 3 to 57",B120&gt;=Thresholds_Rates!$C$16),$C120*Thresholds_Rates!$F$15,IF(AND(OR($B$2="New Consultant Contract"),$B120&lt;&gt;""),$C120*Thresholds_Rates!$F$15,IF(AND(OR($B$2="Clinical Lecturer / Medical Research Fellow",$B$2="Clinical Consultant - Old Contract (GP)"),$B120&lt;&gt;""),$C120*Thresholds_Rates!$F$15,IF(OR($B$2="APM Level 7",$B$2="R&amp;T Level 7"),$C120*Thresholds_Rates!$F$15,IF(SUMIF(Grades!$A:$A,$B$2,Grades!$BO:$BO)=1,$C120*Thresholds_Rates!$F$15,""))))))))</f>
        <v/>
      </c>
      <c r="G120" s="81" t="str">
        <f ca="1">IF(B120="","",IF($B$2="Salary Points 1 to 57","-",IF(SUMIF(Grades!$A:$A,$B$2,Grades!$BP:$BP)=0,"-",IF(AND(OR($B$2="New Consultant Contract"),$B120&lt;&gt;""),$C120*Thresholds_Rates!$F$16,IF(AND(OR($B$2="Clinical Lecturer / Medical Research Fellow",$B$2="Clinical Consultant - Old Contract (GP)"),$B120&lt;&gt;""),$C120*Thresholds_Rates!$F$16,IF(AND(OR($B$2="APM Level 7",$B$2="R&amp;T Level 7"),F120&lt;&gt;""),$C120*Thresholds_Rates!$F$16,IF(SUMIF(Grades!$A:$A,$B$2,Grades!$BP:$BP)=1,$C120*Thresholds_Rates!$F$16,"")))))))</f>
        <v/>
      </c>
      <c r="H120" s="81" t="str">
        <f ca="1">IF(B120="","",IF(SUMIF(Grades!$A:$A,$B$2,Grades!$BQ:$BQ)=0,"-",IF(AND($B$2="Salary Points 1 to 57",B120&gt;Thresholds_Rates!$C$17),"-",IF(AND($B$2="Salary Points 1 to 57",B120&lt;=Thresholds_Rates!$C$17),$C120*Thresholds_Rates!$F$17,IF(AND(OR($B$2="New Consultant Contract"),$B120&lt;&gt;""),$C120*Thresholds_Rates!$F$17,IF(AND(OR($B$2="Clinical Lecturer / Medical Research Fellow",$B$2="Clinical Consultant - Old Contract (GP)"),$B120&lt;&gt;""),$C120*Thresholds_Rates!$F$17,IF(AND(OR($B$2="APM Level 7",$B$2="R&amp;T Level 7"),G120&lt;&gt;""),$C120*Thresholds_Rates!$F$17,IF(SUMIF(Grades!$A:$A,$B$2,Grades!$BQ:$BQ)=1,$C120*Thresholds_Rates!$F$17,""))))))))</f>
        <v/>
      </c>
      <c r="I120" s="81"/>
      <c r="J120" s="81" t="str">
        <f ca="1">IF(B120="","",(C120*Thresholds_Rates!$C$12))</f>
        <v/>
      </c>
      <c r="K120" s="81"/>
      <c r="L120" s="68"/>
      <c r="M120" s="81" t="str">
        <f t="shared" ca="1" si="6"/>
        <v/>
      </c>
      <c r="N120" s="81" t="str">
        <f t="shared" ca="1" si="7"/>
        <v/>
      </c>
      <c r="O120" s="81" t="str">
        <f t="shared" ca="1" si="8"/>
        <v/>
      </c>
      <c r="P120" s="81" t="str">
        <f t="shared" ca="1" si="9"/>
        <v/>
      </c>
      <c r="Q120" s="81" t="str">
        <f t="shared" ca="1" si="10"/>
        <v/>
      </c>
      <c r="S120" s="83"/>
      <c r="T120" s="84"/>
      <c r="U120" s="83"/>
      <c r="V120" s="84"/>
    </row>
    <row r="121" spans="2:22" x14ac:dyDescent="0.25">
      <c r="B121" s="68" t="str">
        <f ca="1">IFERROR(INDEX('Points Lookup'!$A:$A,MATCH($AA123,'Points Lookup'!$AN:$AN,0)),"")</f>
        <v/>
      </c>
      <c r="C121" s="81" t="str">
        <f ca="1">IF(B121="","",IF($B$2="Apprenticeship",SUMIF('Points Lookup'!$AJ:$AJ,B121,'Points Lookup'!$AL:$AL),IF(AND(OR($B$2="New Consultant Contract"),$B121&lt;&gt;""),INDEX('Points Lookup'!$T:$T,MATCH($B121,'Points Lookup'!$S:$S,0)),IF(AND(OR($B$2="Clinical Lecturer / Medical Research Fellow",$B$2="Clinical Consultant - Old Contract (GP)"),$B121&lt;&gt;""),INDEX('Points Lookup'!$Q:$Q,MATCH($B121,'Points Lookup'!$P:$P,0)),IF(AND(OR($B$2="APM Level 7",$B$2="R&amp;T Level 7",$B$2="APM Level 8",$B$2="Technical Services Level 7"),B121&lt;&gt;""),INDEX('Points Lookup'!$H:$H,MATCH($AA121,'Points Lookup'!$AN:$AN,0)),IF($B$2="R&amp;T Level 5 - Clinical Lecturers (Vet School)",SUMIF('Points Lookup'!$V:$V,$B121,'Points Lookup'!$Y:$Y),IF($B$2="R&amp;T Level 6 - Clinical Associate Professors and Clinical Readers (Vet School)",SUMIF('Points Lookup'!$AC:$AC,$B121,'Points Lookup'!$AF:$AF),IFERROR(INDEX('Points Lookup'!$B:$B,MATCH($AA121,'Points Lookup'!$AN:$AN,0)),""))))))))</f>
        <v/>
      </c>
      <c r="D121" s="81"/>
      <c r="E121" s="81"/>
      <c r="F121" s="81" t="str">
        <f ca="1">IF($B121="","",IF(AND($B$2="Salary Points 3 to 57",B121&lt;Thresholds_Rates!$C$16),"-",IF(SUMIF(Grades!$A:$A,$B$2,Grades!$BO:$BO)=0,"-",IF(AND($B$2="Salary Points 3 to 57",B121&gt;=Thresholds_Rates!$C$16),$C121*Thresholds_Rates!$F$15,IF(AND(OR($B$2="New Consultant Contract"),$B121&lt;&gt;""),$C121*Thresholds_Rates!$F$15,IF(AND(OR($B$2="Clinical Lecturer / Medical Research Fellow",$B$2="Clinical Consultant - Old Contract (GP)"),$B121&lt;&gt;""),$C121*Thresholds_Rates!$F$15,IF(OR($B$2="APM Level 7",$B$2="R&amp;T Level 7"),$C121*Thresholds_Rates!$F$15,IF(SUMIF(Grades!$A:$A,$B$2,Grades!$BO:$BO)=1,$C121*Thresholds_Rates!$F$15,""))))))))</f>
        <v/>
      </c>
      <c r="G121" s="81" t="str">
        <f ca="1">IF(B121="","",IF($B$2="Salary Points 1 to 57","-",IF(SUMIF(Grades!$A:$A,$B$2,Grades!$BP:$BP)=0,"-",IF(AND(OR($B$2="New Consultant Contract"),$B121&lt;&gt;""),$C121*Thresholds_Rates!$F$16,IF(AND(OR($B$2="Clinical Lecturer / Medical Research Fellow",$B$2="Clinical Consultant - Old Contract (GP)"),$B121&lt;&gt;""),$C121*Thresholds_Rates!$F$16,IF(AND(OR($B$2="APM Level 7",$B$2="R&amp;T Level 7"),F121&lt;&gt;""),$C121*Thresholds_Rates!$F$16,IF(SUMIF(Grades!$A:$A,$B$2,Grades!$BP:$BP)=1,$C121*Thresholds_Rates!$F$16,"")))))))</f>
        <v/>
      </c>
      <c r="H121" s="81" t="str">
        <f ca="1">IF(B121="","",IF(SUMIF(Grades!$A:$A,$B$2,Grades!$BQ:$BQ)=0,"-",IF(AND($B$2="Salary Points 1 to 57",B121&gt;Thresholds_Rates!$C$17),"-",IF(AND($B$2="Salary Points 1 to 57",B121&lt;=Thresholds_Rates!$C$17),$C121*Thresholds_Rates!$F$17,IF(AND(OR($B$2="New Consultant Contract"),$B121&lt;&gt;""),$C121*Thresholds_Rates!$F$17,IF(AND(OR($B$2="Clinical Lecturer / Medical Research Fellow",$B$2="Clinical Consultant - Old Contract (GP)"),$B121&lt;&gt;""),$C121*Thresholds_Rates!$F$17,IF(AND(OR($B$2="APM Level 7",$B$2="R&amp;T Level 7"),G121&lt;&gt;""),$C121*Thresholds_Rates!$F$17,IF(SUMIF(Grades!$A:$A,$B$2,Grades!$BQ:$BQ)=1,$C121*Thresholds_Rates!$F$17,""))))))))</f>
        <v/>
      </c>
      <c r="I121" s="81"/>
      <c r="J121" s="81" t="str">
        <f ca="1">IF(B121="","",(C121*Thresholds_Rates!$C$12))</f>
        <v/>
      </c>
      <c r="K121" s="81"/>
      <c r="L121" s="68"/>
      <c r="M121" s="81" t="str">
        <f t="shared" ca="1" si="6"/>
        <v/>
      </c>
      <c r="N121" s="81" t="str">
        <f t="shared" ca="1" si="7"/>
        <v/>
      </c>
      <c r="O121" s="81" t="str">
        <f t="shared" ca="1" si="8"/>
        <v/>
      </c>
      <c r="P121" s="81" t="str">
        <f t="shared" ca="1" si="9"/>
        <v/>
      </c>
      <c r="Q121" s="81" t="str">
        <f t="shared" ca="1" si="10"/>
        <v/>
      </c>
      <c r="S121" s="83"/>
      <c r="T121" s="84"/>
      <c r="U121" s="83"/>
      <c r="V121" s="84"/>
    </row>
    <row r="122" spans="2:22" x14ac:dyDescent="0.25">
      <c r="B122" s="68" t="str">
        <f ca="1">IFERROR(INDEX('Points Lookup'!$A:$A,MATCH($AA124,'Points Lookup'!$AN:$AN,0)),"")</f>
        <v/>
      </c>
      <c r="C122" s="81" t="str">
        <f ca="1">IF(B122="","",IF($B$2="Apprenticeship",SUMIF('Points Lookup'!$AJ:$AJ,B122,'Points Lookup'!$AL:$AL),IF(AND(OR($B$2="New Consultant Contract"),$B122&lt;&gt;""),INDEX('Points Lookup'!$T:$T,MATCH($B122,'Points Lookup'!$S:$S,0)),IF(AND(OR($B$2="Clinical Lecturer / Medical Research Fellow",$B$2="Clinical Consultant - Old Contract (GP)"),$B122&lt;&gt;""),INDEX('Points Lookup'!$Q:$Q,MATCH($B122,'Points Lookup'!$P:$P,0)),IF(AND(OR($B$2="APM Level 7",$B$2="R&amp;T Level 7",$B$2="APM Level 8",$B$2="Technical Services Level 7"),B122&lt;&gt;""),INDEX('Points Lookup'!$H:$H,MATCH($AA122,'Points Lookup'!$AN:$AN,0)),IF($B$2="R&amp;T Level 5 - Clinical Lecturers (Vet School)",SUMIF('Points Lookup'!$V:$V,$B122,'Points Lookup'!$Y:$Y),IF($B$2="R&amp;T Level 6 - Clinical Associate Professors and Clinical Readers (Vet School)",SUMIF('Points Lookup'!$AC:$AC,$B122,'Points Lookup'!$AF:$AF),IFERROR(INDEX('Points Lookup'!$B:$B,MATCH($AA122,'Points Lookup'!$AN:$AN,0)),""))))))))</f>
        <v/>
      </c>
      <c r="D122" s="81"/>
      <c r="E122" s="81"/>
      <c r="F122" s="81" t="str">
        <f ca="1">IF($B122="","",IF(AND($B$2="Salary Points 3 to 57",B122&lt;Thresholds_Rates!$C$16),"-",IF(SUMIF(Grades!$A:$A,$B$2,Grades!$BO:$BO)=0,"-",IF(AND($B$2="Salary Points 3 to 57",B122&gt;=Thresholds_Rates!$C$16),$C122*Thresholds_Rates!$F$15,IF(AND(OR($B$2="New Consultant Contract"),$B122&lt;&gt;""),$C122*Thresholds_Rates!$F$15,IF(AND(OR($B$2="Clinical Lecturer / Medical Research Fellow",$B$2="Clinical Consultant - Old Contract (GP)"),$B122&lt;&gt;""),$C122*Thresholds_Rates!$F$15,IF(OR($B$2="APM Level 7",$B$2="R&amp;T Level 7"),$C122*Thresholds_Rates!$F$15,IF(SUMIF(Grades!$A:$A,$B$2,Grades!$BO:$BO)=1,$C122*Thresholds_Rates!$F$15,""))))))))</f>
        <v/>
      </c>
      <c r="G122" s="81" t="str">
        <f ca="1">IF(B122="","",IF($B$2="Salary Points 1 to 57","-",IF(SUMIF(Grades!$A:$A,$B$2,Grades!$BP:$BP)=0,"-",IF(AND(OR($B$2="New Consultant Contract"),$B122&lt;&gt;""),$C122*Thresholds_Rates!$F$16,IF(AND(OR($B$2="Clinical Lecturer / Medical Research Fellow",$B$2="Clinical Consultant - Old Contract (GP)"),$B122&lt;&gt;""),$C122*Thresholds_Rates!$F$16,IF(AND(OR($B$2="APM Level 7",$B$2="R&amp;T Level 7"),F122&lt;&gt;""),$C122*Thresholds_Rates!$F$16,IF(SUMIF(Grades!$A:$A,$B$2,Grades!$BP:$BP)=1,$C122*Thresholds_Rates!$F$16,"")))))))</f>
        <v/>
      </c>
      <c r="H122" s="81" t="str">
        <f ca="1">IF(B122="","",IF(SUMIF(Grades!$A:$A,$B$2,Grades!$BQ:$BQ)=0,"-",IF(AND($B$2="Salary Points 1 to 57",B122&gt;Thresholds_Rates!$C$17),"-",IF(AND($B$2="Salary Points 1 to 57",B122&lt;=Thresholds_Rates!$C$17),$C122*Thresholds_Rates!$F$17,IF(AND(OR($B$2="New Consultant Contract"),$B122&lt;&gt;""),$C122*Thresholds_Rates!$F$17,IF(AND(OR($B$2="Clinical Lecturer / Medical Research Fellow",$B$2="Clinical Consultant - Old Contract (GP)"),$B122&lt;&gt;""),$C122*Thresholds_Rates!$F$17,IF(AND(OR($B$2="APM Level 7",$B$2="R&amp;T Level 7"),G122&lt;&gt;""),$C122*Thresholds_Rates!$F$17,IF(SUMIF(Grades!$A:$A,$B$2,Grades!$BQ:$BQ)=1,$C122*Thresholds_Rates!$F$17,""))))))))</f>
        <v/>
      </c>
      <c r="I122" s="81"/>
      <c r="J122" s="81" t="str">
        <f ca="1">IF(B122="","",(C122*Thresholds_Rates!$C$12))</f>
        <v/>
      </c>
      <c r="K122" s="81"/>
      <c r="L122" s="68"/>
      <c r="M122" s="81" t="str">
        <f t="shared" ca="1" si="6"/>
        <v/>
      </c>
      <c r="N122" s="81" t="str">
        <f t="shared" ca="1" si="7"/>
        <v/>
      </c>
      <c r="O122" s="81" t="str">
        <f t="shared" ca="1" si="8"/>
        <v/>
      </c>
      <c r="P122" s="81" t="str">
        <f t="shared" ca="1" si="9"/>
        <v/>
      </c>
      <c r="Q122" s="81" t="str">
        <f t="shared" ca="1" si="10"/>
        <v/>
      </c>
      <c r="S122" s="83"/>
      <c r="T122" s="84"/>
      <c r="U122" s="83"/>
      <c r="V122" s="84"/>
    </row>
    <row r="123" spans="2:22" x14ac:dyDescent="0.25">
      <c r="B123" s="68" t="str">
        <f ca="1">IFERROR(INDEX('Points Lookup'!$A:$A,MATCH($AA125,'Points Lookup'!$AN:$AN,0)),"")</f>
        <v/>
      </c>
      <c r="C123" s="81" t="str">
        <f ca="1">IF(B123="","",IF($B$2="Apprenticeship",SUMIF('Points Lookup'!$AJ:$AJ,B123,'Points Lookup'!$AL:$AL),IF(AND(OR($B$2="New Consultant Contract"),$B123&lt;&gt;""),INDEX('Points Lookup'!$T:$T,MATCH($B123,'Points Lookup'!$S:$S,0)),IF(AND(OR($B$2="Clinical Lecturer / Medical Research Fellow",$B$2="Clinical Consultant - Old Contract (GP)"),$B123&lt;&gt;""),INDEX('Points Lookup'!$Q:$Q,MATCH($B123,'Points Lookup'!$P:$P,0)),IF(AND(OR($B$2="APM Level 7",$B$2="R&amp;T Level 7",$B$2="APM Level 8",$B$2="Technical Services Level 7"),B123&lt;&gt;""),INDEX('Points Lookup'!$H:$H,MATCH($AA123,'Points Lookup'!$AN:$AN,0)),IF($B$2="R&amp;T Level 5 - Clinical Lecturers (Vet School)",SUMIF('Points Lookup'!$V:$V,$B123,'Points Lookup'!$Y:$Y),IF($B$2="R&amp;T Level 6 - Clinical Associate Professors and Clinical Readers (Vet School)",SUMIF('Points Lookup'!$AC:$AC,$B123,'Points Lookup'!$AF:$AF),IFERROR(INDEX('Points Lookup'!$B:$B,MATCH($AA123,'Points Lookup'!$AN:$AN,0)),""))))))))</f>
        <v/>
      </c>
      <c r="D123" s="81"/>
      <c r="E123" s="81"/>
      <c r="F123" s="81" t="str">
        <f ca="1">IF($B123="","",IF(AND($B$2="Salary Points 3 to 57",B123&lt;Thresholds_Rates!$C$16),"-",IF(SUMIF(Grades!$A:$A,$B$2,Grades!$BO:$BO)=0,"-",IF(AND($B$2="Salary Points 3 to 57",B123&gt;=Thresholds_Rates!$C$16),$C123*Thresholds_Rates!$F$15,IF(AND(OR($B$2="New Consultant Contract"),$B123&lt;&gt;""),$C123*Thresholds_Rates!$F$15,IF(AND(OR($B$2="Clinical Lecturer / Medical Research Fellow",$B$2="Clinical Consultant - Old Contract (GP)"),$B123&lt;&gt;""),$C123*Thresholds_Rates!$F$15,IF(OR($B$2="APM Level 7",$B$2="R&amp;T Level 7"),$C123*Thresholds_Rates!$F$15,IF(SUMIF(Grades!$A:$A,$B$2,Grades!$BO:$BO)=1,$C123*Thresholds_Rates!$F$15,""))))))))</f>
        <v/>
      </c>
      <c r="G123" s="81" t="str">
        <f ca="1">IF(B123="","",IF($B$2="Salary Points 1 to 57","-",IF(SUMIF(Grades!$A:$A,$B$2,Grades!$BP:$BP)=0,"-",IF(AND(OR($B$2="New Consultant Contract"),$B123&lt;&gt;""),$C123*Thresholds_Rates!$F$16,IF(AND(OR($B$2="Clinical Lecturer / Medical Research Fellow",$B$2="Clinical Consultant - Old Contract (GP)"),$B123&lt;&gt;""),$C123*Thresholds_Rates!$F$16,IF(AND(OR($B$2="APM Level 7",$B$2="R&amp;T Level 7"),F123&lt;&gt;""),$C123*Thresholds_Rates!$F$16,IF(SUMIF(Grades!$A:$A,$B$2,Grades!$BP:$BP)=1,$C123*Thresholds_Rates!$F$16,"")))))))</f>
        <v/>
      </c>
      <c r="H123" s="81" t="str">
        <f ca="1">IF(B123="","",IF(SUMIF(Grades!$A:$A,$B$2,Grades!$BQ:$BQ)=0,"-",IF(AND($B$2="Salary Points 1 to 57",B123&gt;Thresholds_Rates!$C$17),"-",IF(AND($B$2="Salary Points 1 to 57",B123&lt;=Thresholds_Rates!$C$17),$C123*Thresholds_Rates!$F$17,IF(AND(OR($B$2="New Consultant Contract"),$B123&lt;&gt;""),$C123*Thresholds_Rates!$F$17,IF(AND(OR($B$2="Clinical Lecturer / Medical Research Fellow",$B$2="Clinical Consultant - Old Contract (GP)"),$B123&lt;&gt;""),$C123*Thresholds_Rates!$F$17,IF(AND(OR($B$2="APM Level 7",$B$2="R&amp;T Level 7"),G123&lt;&gt;""),$C123*Thresholds_Rates!$F$17,IF(SUMIF(Grades!$A:$A,$B$2,Grades!$BQ:$BQ)=1,$C123*Thresholds_Rates!$F$17,""))))))))</f>
        <v/>
      </c>
      <c r="I123" s="81"/>
      <c r="J123" s="81" t="str">
        <f ca="1">IF(B123="","",(C123*Thresholds_Rates!$C$12))</f>
        <v/>
      </c>
      <c r="K123" s="81"/>
      <c r="L123" s="68"/>
      <c r="M123" s="81" t="str">
        <f t="shared" ca="1" si="6"/>
        <v/>
      </c>
      <c r="N123" s="81" t="str">
        <f t="shared" ca="1" si="7"/>
        <v/>
      </c>
      <c r="O123" s="81" t="str">
        <f t="shared" ca="1" si="8"/>
        <v/>
      </c>
      <c r="P123" s="81" t="str">
        <f t="shared" ca="1" si="9"/>
        <v/>
      </c>
      <c r="Q123" s="81" t="str">
        <f t="shared" ca="1" si="10"/>
        <v/>
      </c>
      <c r="S123" s="83"/>
      <c r="T123" s="84"/>
      <c r="U123" s="83"/>
      <c r="V123" s="84"/>
    </row>
    <row r="124" spans="2:22" x14ac:dyDescent="0.25">
      <c r="B124" s="68" t="str">
        <f ca="1">IFERROR(INDEX('Points Lookup'!$A:$A,MATCH($AA126,'Points Lookup'!$AN:$AN,0)),"")</f>
        <v/>
      </c>
      <c r="C124" s="81" t="str">
        <f ca="1">IF(B124="","",IF($B$2="Apprenticeship",SUMIF('Points Lookup'!$AJ:$AJ,B124,'Points Lookup'!$AL:$AL),IF(AND(OR($B$2="New Consultant Contract"),$B124&lt;&gt;""),INDEX('Points Lookup'!$T:$T,MATCH($B124,'Points Lookup'!$S:$S,0)),IF(AND(OR($B$2="Clinical Lecturer / Medical Research Fellow",$B$2="Clinical Consultant - Old Contract (GP)"),$B124&lt;&gt;""),INDEX('Points Lookup'!$Q:$Q,MATCH($B124,'Points Lookup'!$P:$P,0)),IF(AND(OR($B$2="APM Level 7",$B$2="R&amp;T Level 7",$B$2="APM Level 8",$B$2="Technical Services Level 7"),B124&lt;&gt;""),INDEX('Points Lookup'!$H:$H,MATCH($AA124,'Points Lookup'!$AN:$AN,0)),IF($B$2="R&amp;T Level 5 - Clinical Lecturers (Vet School)",SUMIF('Points Lookup'!$V:$V,$B124,'Points Lookup'!$Y:$Y),IF($B$2="R&amp;T Level 6 - Clinical Associate Professors and Clinical Readers (Vet School)",SUMIF('Points Lookup'!$AC:$AC,$B124,'Points Lookup'!$AF:$AF),IFERROR(INDEX('Points Lookup'!$B:$B,MATCH($AA124,'Points Lookup'!$AN:$AN,0)),""))))))))</f>
        <v/>
      </c>
      <c r="D124" s="81"/>
      <c r="E124" s="81"/>
      <c r="F124" s="81" t="str">
        <f ca="1">IF($B124="","",IF(AND($B$2="Salary Points 3 to 57",B124&lt;Thresholds_Rates!$C$16),"-",IF(SUMIF(Grades!$A:$A,$B$2,Grades!$BO:$BO)=0,"-",IF(AND($B$2="Salary Points 3 to 57",B124&gt;=Thresholds_Rates!$C$16),$C124*Thresholds_Rates!$F$15,IF(AND(OR($B$2="New Consultant Contract"),$B124&lt;&gt;""),$C124*Thresholds_Rates!$F$15,IF(AND(OR($B$2="Clinical Lecturer / Medical Research Fellow",$B$2="Clinical Consultant - Old Contract (GP)"),$B124&lt;&gt;""),$C124*Thresholds_Rates!$F$15,IF(OR($B$2="APM Level 7",$B$2="R&amp;T Level 7"),$C124*Thresholds_Rates!$F$15,IF(SUMIF(Grades!$A:$A,$B$2,Grades!$BO:$BO)=1,$C124*Thresholds_Rates!$F$15,""))))))))</f>
        <v/>
      </c>
      <c r="G124" s="81" t="str">
        <f ca="1">IF(B124="","",IF($B$2="Salary Points 1 to 57","-",IF(SUMIF(Grades!$A:$A,$B$2,Grades!$BP:$BP)=0,"-",IF(AND(OR($B$2="New Consultant Contract"),$B124&lt;&gt;""),$C124*Thresholds_Rates!$F$16,IF(AND(OR($B$2="Clinical Lecturer / Medical Research Fellow",$B$2="Clinical Consultant - Old Contract (GP)"),$B124&lt;&gt;""),$C124*Thresholds_Rates!$F$16,IF(AND(OR($B$2="APM Level 7",$B$2="R&amp;T Level 7"),F124&lt;&gt;""),$C124*Thresholds_Rates!$F$16,IF(SUMIF(Grades!$A:$A,$B$2,Grades!$BP:$BP)=1,$C124*Thresholds_Rates!$F$16,"")))))))</f>
        <v/>
      </c>
      <c r="H124" s="81" t="str">
        <f ca="1">IF(B124="","",IF(SUMIF(Grades!$A:$A,$B$2,Grades!$BQ:$BQ)=0,"-",IF(AND($B$2="Salary Points 1 to 57",B124&gt;Thresholds_Rates!$C$17),"-",IF(AND($B$2="Salary Points 1 to 57",B124&lt;=Thresholds_Rates!$C$17),$C124*Thresholds_Rates!$F$17,IF(AND(OR($B$2="New Consultant Contract"),$B124&lt;&gt;""),$C124*Thresholds_Rates!$F$17,IF(AND(OR($B$2="Clinical Lecturer / Medical Research Fellow",$B$2="Clinical Consultant - Old Contract (GP)"),$B124&lt;&gt;""),$C124*Thresholds_Rates!$F$17,IF(AND(OR($B$2="APM Level 7",$B$2="R&amp;T Level 7"),G124&lt;&gt;""),$C124*Thresholds_Rates!$F$17,IF(SUMIF(Grades!$A:$A,$B$2,Grades!$BQ:$BQ)=1,$C124*Thresholds_Rates!$F$17,""))))))))</f>
        <v/>
      </c>
      <c r="I124" s="81"/>
      <c r="J124" s="81" t="str">
        <f ca="1">IF(B124="","",(C124*Thresholds_Rates!$C$12))</f>
        <v/>
      </c>
      <c r="K124" s="81"/>
      <c r="L124" s="68"/>
      <c r="M124" s="81" t="str">
        <f t="shared" ca="1" si="6"/>
        <v/>
      </c>
      <c r="N124" s="81" t="str">
        <f t="shared" ca="1" si="7"/>
        <v/>
      </c>
      <c r="O124" s="81" t="str">
        <f t="shared" ca="1" si="8"/>
        <v/>
      </c>
      <c r="P124" s="81" t="str">
        <f t="shared" ca="1" si="9"/>
        <v/>
      </c>
      <c r="Q124" s="81" t="str">
        <f t="shared" ca="1" si="10"/>
        <v/>
      </c>
      <c r="S124" s="83"/>
      <c r="T124" s="84"/>
      <c r="U124" s="83"/>
      <c r="V124" s="84"/>
    </row>
    <row r="125" spans="2:22" x14ac:dyDescent="0.25">
      <c r="B125" s="68" t="str">
        <f ca="1">IFERROR(INDEX('Points Lookup'!$A:$A,MATCH($AA127,'Points Lookup'!$AN:$AN,0)),"")</f>
        <v/>
      </c>
      <c r="C125" s="81" t="str">
        <f ca="1">IF(B125="","",IF($B$2="Apprenticeship",SUMIF('Points Lookup'!$AJ:$AJ,B125,'Points Lookup'!$AL:$AL),IF(AND(OR($B$2="New Consultant Contract"),$B125&lt;&gt;""),INDEX('Points Lookup'!$T:$T,MATCH($B125,'Points Lookup'!$S:$S,0)),IF(AND(OR($B$2="Clinical Lecturer / Medical Research Fellow",$B$2="Clinical Consultant - Old Contract (GP)"),$B125&lt;&gt;""),INDEX('Points Lookup'!$Q:$Q,MATCH($B125,'Points Lookup'!$P:$P,0)),IF(AND(OR($B$2="APM Level 7",$B$2="R&amp;T Level 7",$B$2="APM Level 8",$B$2="Technical Services Level 7"),B125&lt;&gt;""),INDEX('Points Lookup'!$H:$H,MATCH($AA125,'Points Lookup'!$AN:$AN,0)),IF($B$2="R&amp;T Level 5 - Clinical Lecturers (Vet School)",SUMIF('Points Lookup'!$V:$V,$B125,'Points Lookup'!$Y:$Y),IF($B$2="R&amp;T Level 6 - Clinical Associate Professors and Clinical Readers (Vet School)",SUMIF('Points Lookup'!$AC:$AC,$B125,'Points Lookup'!$AF:$AF),IFERROR(INDEX('Points Lookup'!$B:$B,MATCH($AA125,'Points Lookup'!$AN:$AN,0)),""))))))))</f>
        <v/>
      </c>
      <c r="D125" s="81"/>
      <c r="E125" s="81"/>
      <c r="F125" s="81" t="str">
        <f ca="1">IF($B125="","",IF(AND($B$2="Salary Points 3 to 57",B125&lt;Thresholds_Rates!$C$16),"-",IF(SUMIF(Grades!$A:$A,$B$2,Grades!$BO:$BO)=0,"-",IF(AND($B$2="Salary Points 3 to 57",B125&gt;=Thresholds_Rates!$C$16),$C125*Thresholds_Rates!$F$15,IF(AND(OR($B$2="New Consultant Contract"),$B125&lt;&gt;""),$C125*Thresholds_Rates!$F$15,IF(AND(OR($B$2="Clinical Lecturer / Medical Research Fellow",$B$2="Clinical Consultant - Old Contract (GP)"),$B125&lt;&gt;""),$C125*Thresholds_Rates!$F$15,IF(OR($B$2="APM Level 7",$B$2="R&amp;T Level 7"),$C125*Thresholds_Rates!$F$15,IF(SUMIF(Grades!$A:$A,$B$2,Grades!$BO:$BO)=1,$C125*Thresholds_Rates!$F$15,""))))))))</f>
        <v/>
      </c>
      <c r="G125" s="81" t="str">
        <f ca="1">IF(B125="","",IF($B$2="Salary Points 1 to 57","-",IF(SUMIF(Grades!$A:$A,$B$2,Grades!$BP:$BP)=0,"-",IF(AND(OR($B$2="New Consultant Contract"),$B125&lt;&gt;""),$C125*Thresholds_Rates!$F$16,IF(AND(OR($B$2="Clinical Lecturer / Medical Research Fellow",$B$2="Clinical Consultant - Old Contract (GP)"),$B125&lt;&gt;""),$C125*Thresholds_Rates!$F$16,IF(AND(OR($B$2="APM Level 7",$B$2="R&amp;T Level 7"),F125&lt;&gt;""),$C125*Thresholds_Rates!$F$16,IF(SUMIF(Grades!$A:$A,$B$2,Grades!$BP:$BP)=1,$C125*Thresholds_Rates!$F$16,"")))))))</f>
        <v/>
      </c>
      <c r="H125" s="81" t="str">
        <f ca="1">IF(B125="","",IF(SUMIF(Grades!$A:$A,$B$2,Grades!$BQ:$BQ)=0,"-",IF(AND($B$2="Salary Points 1 to 57",B125&gt;Thresholds_Rates!$C$17),"-",IF(AND($B$2="Salary Points 1 to 57",B125&lt;=Thresholds_Rates!$C$17),$C125*Thresholds_Rates!$F$17,IF(AND(OR($B$2="New Consultant Contract"),$B125&lt;&gt;""),$C125*Thresholds_Rates!$F$17,IF(AND(OR($B$2="Clinical Lecturer / Medical Research Fellow",$B$2="Clinical Consultant - Old Contract (GP)"),$B125&lt;&gt;""),$C125*Thresholds_Rates!$F$17,IF(AND(OR($B$2="APM Level 7",$B$2="R&amp;T Level 7"),G125&lt;&gt;""),$C125*Thresholds_Rates!$F$17,IF(SUMIF(Grades!$A:$A,$B$2,Grades!$BQ:$BQ)=1,$C125*Thresholds_Rates!$F$17,""))))))))</f>
        <v/>
      </c>
      <c r="I125" s="81"/>
      <c r="J125" s="81" t="str">
        <f ca="1">IF(B125="","",(C125*Thresholds_Rates!$C$12))</f>
        <v/>
      </c>
      <c r="K125" s="81"/>
      <c r="L125" s="68"/>
      <c r="M125" s="81" t="str">
        <f t="shared" ca="1" si="6"/>
        <v/>
      </c>
      <c r="N125" s="81" t="str">
        <f t="shared" ca="1" si="7"/>
        <v/>
      </c>
      <c r="O125" s="81" t="str">
        <f t="shared" ca="1" si="8"/>
        <v/>
      </c>
      <c r="P125" s="81" t="str">
        <f t="shared" ca="1" si="9"/>
        <v/>
      </c>
      <c r="Q125" s="81" t="str">
        <f t="shared" ca="1" si="10"/>
        <v/>
      </c>
      <c r="S125" s="83"/>
      <c r="T125" s="84"/>
      <c r="U125" s="83"/>
      <c r="V125" s="84"/>
    </row>
    <row r="126" spans="2:22" x14ac:dyDescent="0.25">
      <c r="B126" s="68" t="str">
        <f ca="1">IFERROR(INDEX('Points Lookup'!$A:$A,MATCH($AA128,'Points Lookup'!$AN:$AN,0)),"")</f>
        <v/>
      </c>
      <c r="C126" s="81" t="str">
        <f ca="1">IF(B126="","",IF($B$2="Apprenticeship",SUMIF('Points Lookup'!$AJ:$AJ,B126,'Points Lookup'!$AL:$AL),IF(AND(OR($B$2="New Consultant Contract"),$B126&lt;&gt;""),INDEX('Points Lookup'!$T:$T,MATCH($B126,'Points Lookup'!$S:$S,0)),IF(AND(OR($B$2="Clinical Lecturer / Medical Research Fellow",$B$2="Clinical Consultant - Old Contract (GP)"),$B126&lt;&gt;""),INDEX('Points Lookup'!$Q:$Q,MATCH($B126,'Points Lookup'!$P:$P,0)),IF(AND(OR($B$2="APM Level 7",$B$2="R&amp;T Level 7",$B$2="APM Level 8",$B$2="Technical Services Level 7"),B126&lt;&gt;""),INDEX('Points Lookup'!$H:$H,MATCH($AA126,'Points Lookup'!$AN:$AN,0)),IF($B$2="R&amp;T Level 5 - Clinical Lecturers (Vet School)",SUMIF('Points Lookup'!$V:$V,$B126,'Points Lookup'!$Y:$Y),IF($B$2="R&amp;T Level 6 - Clinical Associate Professors and Clinical Readers (Vet School)",SUMIF('Points Lookup'!$AC:$AC,$B126,'Points Lookup'!$AF:$AF),IFERROR(INDEX('Points Lookup'!$B:$B,MATCH($AA126,'Points Lookup'!$AN:$AN,0)),""))))))))</f>
        <v/>
      </c>
      <c r="D126" s="81"/>
      <c r="E126" s="81"/>
      <c r="F126" s="81" t="str">
        <f ca="1">IF($B126="","",IF(AND($B$2="Salary Points 3 to 57",B126&lt;Thresholds_Rates!$C$16),"-",IF(SUMIF(Grades!$A:$A,$B$2,Grades!$BO:$BO)=0,"-",IF(AND($B$2="Salary Points 3 to 57",B126&gt;=Thresholds_Rates!$C$16),$C126*Thresholds_Rates!$F$15,IF(AND(OR($B$2="New Consultant Contract"),$B126&lt;&gt;""),$C126*Thresholds_Rates!$F$15,IF(AND(OR($B$2="Clinical Lecturer / Medical Research Fellow",$B$2="Clinical Consultant - Old Contract (GP)"),$B126&lt;&gt;""),$C126*Thresholds_Rates!$F$15,IF(OR($B$2="APM Level 7",$B$2="R&amp;T Level 7"),$C126*Thresholds_Rates!$F$15,IF(SUMIF(Grades!$A:$A,$B$2,Grades!$BO:$BO)=1,$C126*Thresholds_Rates!$F$15,""))))))))</f>
        <v/>
      </c>
      <c r="G126" s="81" t="str">
        <f ca="1">IF(B126="","",IF($B$2="Salary Points 1 to 57","-",IF(SUMIF(Grades!$A:$A,$B$2,Grades!$BP:$BP)=0,"-",IF(AND(OR($B$2="New Consultant Contract"),$B126&lt;&gt;""),$C126*Thresholds_Rates!$F$16,IF(AND(OR($B$2="Clinical Lecturer / Medical Research Fellow",$B$2="Clinical Consultant - Old Contract (GP)"),$B126&lt;&gt;""),$C126*Thresholds_Rates!$F$16,IF(AND(OR($B$2="APM Level 7",$B$2="R&amp;T Level 7"),F126&lt;&gt;""),$C126*Thresholds_Rates!$F$16,IF(SUMIF(Grades!$A:$A,$B$2,Grades!$BP:$BP)=1,$C126*Thresholds_Rates!$F$16,"")))))))</f>
        <v/>
      </c>
      <c r="H126" s="81" t="str">
        <f ca="1">IF(B126="","",IF(SUMIF(Grades!$A:$A,$B$2,Grades!$BQ:$BQ)=0,"-",IF(AND($B$2="Salary Points 1 to 57",B126&gt;Thresholds_Rates!$C$17),"-",IF(AND($B$2="Salary Points 1 to 57",B126&lt;=Thresholds_Rates!$C$17),$C126*Thresholds_Rates!$F$17,IF(AND(OR($B$2="New Consultant Contract"),$B126&lt;&gt;""),$C126*Thresholds_Rates!$F$17,IF(AND(OR($B$2="Clinical Lecturer / Medical Research Fellow",$B$2="Clinical Consultant - Old Contract (GP)"),$B126&lt;&gt;""),$C126*Thresholds_Rates!$F$17,IF(AND(OR($B$2="APM Level 7",$B$2="R&amp;T Level 7"),G126&lt;&gt;""),$C126*Thresholds_Rates!$F$17,IF(SUMIF(Grades!$A:$A,$B$2,Grades!$BQ:$BQ)=1,$C126*Thresholds_Rates!$F$17,""))))))))</f>
        <v/>
      </c>
      <c r="I126" s="81"/>
      <c r="J126" s="81" t="str">
        <f ca="1">IF(B126="","",(C126*Thresholds_Rates!$C$12))</f>
        <v/>
      </c>
      <c r="K126" s="81"/>
      <c r="L126" s="68"/>
      <c r="M126" s="81" t="str">
        <f t="shared" ca="1" si="6"/>
        <v/>
      </c>
      <c r="N126" s="81" t="str">
        <f t="shared" ca="1" si="7"/>
        <v/>
      </c>
      <c r="O126" s="81" t="str">
        <f t="shared" ca="1" si="8"/>
        <v/>
      </c>
      <c r="P126" s="81" t="str">
        <f t="shared" ca="1" si="9"/>
        <v/>
      </c>
      <c r="Q126" s="81" t="str">
        <f t="shared" ca="1" si="10"/>
        <v/>
      </c>
      <c r="S126" s="83"/>
      <c r="T126" s="84"/>
      <c r="U126" s="83"/>
      <c r="V126" s="84"/>
    </row>
    <row r="127" spans="2:22" x14ac:dyDescent="0.25">
      <c r="B127" s="68" t="str">
        <f ca="1">IFERROR(INDEX('Points Lookup'!$A:$A,MATCH($AA129,'Points Lookup'!$AN:$AN,0)),"")</f>
        <v/>
      </c>
      <c r="C127" s="81" t="str">
        <f ca="1">IF(B127="","",IF($B$2="Apprenticeship",SUMIF('Points Lookup'!$AJ:$AJ,B127,'Points Lookup'!$AL:$AL),IF(AND(OR($B$2="New Consultant Contract"),$B127&lt;&gt;""),INDEX('Points Lookup'!$T:$T,MATCH($B127,'Points Lookup'!$S:$S,0)),IF(AND(OR($B$2="Clinical Lecturer / Medical Research Fellow",$B$2="Clinical Consultant - Old Contract (GP)"),$B127&lt;&gt;""),INDEX('Points Lookup'!$Q:$Q,MATCH($B127,'Points Lookup'!$P:$P,0)),IF(AND(OR($B$2="APM Level 7",$B$2="R&amp;T Level 7",$B$2="APM Level 8",$B$2="Technical Services Level 7"),B127&lt;&gt;""),INDEX('Points Lookup'!$H:$H,MATCH($AA127,'Points Lookup'!$AN:$AN,0)),IF($B$2="R&amp;T Level 5 - Clinical Lecturers (Vet School)",SUMIF('Points Lookup'!$V:$V,$B127,'Points Lookup'!$Y:$Y),IF($B$2="R&amp;T Level 6 - Clinical Associate Professors and Clinical Readers (Vet School)",SUMIF('Points Lookup'!$AC:$AC,$B127,'Points Lookup'!$AF:$AF),IFERROR(INDEX('Points Lookup'!$B:$B,MATCH($AA127,'Points Lookup'!$AN:$AN,0)),""))))))))</f>
        <v/>
      </c>
      <c r="D127" s="81"/>
      <c r="E127" s="81"/>
      <c r="F127" s="81" t="str">
        <f ca="1">IF($B127="","",IF(AND($B$2="Salary Points 3 to 57",B127&lt;Thresholds_Rates!$C$16),"-",IF(SUMIF(Grades!$A:$A,$B$2,Grades!$BO:$BO)=0,"-",IF(AND($B$2="Salary Points 3 to 57",B127&gt;=Thresholds_Rates!$C$16),$C127*Thresholds_Rates!$F$15,IF(AND(OR($B$2="New Consultant Contract"),$B127&lt;&gt;""),$C127*Thresholds_Rates!$F$15,IF(AND(OR($B$2="Clinical Lecturer / Medical Research Fellow",$B$2="Clinical Consultant - Old Contract (GP)"),$B127&lt;&gt;""),$C127*Thresholds_Rates!$F$15,IF(OR($B$2="APM Level 7",$B$2="R&amp;T Level 7"),$C127*Thresholds_Rates!$F$15,IF(SUMIF(Grades!$A:$A,$B$2,Grades!$BO:$BO)=1,$C127*Thresholds_Rates!$F$15,""))))))))</f>
        <v/>
      </c>
      <c r="G127" s="81" t="str">
        <f ca="1">IF(B127="","",IF($B$2="Salary Points 1 to 57","-",IF(SUMIF(Grades!$A:$A,$B$2,Grades!$BP:$BP)=0,"-",IF(AND(OR($B$2="New Consultant Contract"),$B127&lt;&gt;""),$C127*Thresholds_Rates!$F$16,IF(AND(OR($B$2="Clinical Lecturer / Medical Research Fellow",$B$2="Clinical Consultant - Old Contract (GP)"),$B127&lt;&gt;""),$C127*Thresholds_Rates!$F$16,IF(AND(OR($B$2="APM Level 7",$B$2="R&amp;T Level 7"),F127&lt;&gt;""),$C127*Thresholds_Rates!$F$16,IF(SUMIF(Grades!$A:$A,$B$2,Grades!$BP:$BP)=1,$C127*Thresholds_Rates!$F$16,"")))))))</f>
        <v/>
      </c>
      <c r="H127" s="81" t="str">
        <f ca="1">IF(B127="","",IF(SUMIF(Grades!$A:$A,$B$2,Grades!$BQ:$BQ)=0,"-",IF(AND($B$2="Salary Points 1 to 57",B127&gt;Thresholds_Rates!$C$17),"-",IF(AND($B$2="Salary Points 1 to 57",B127&lt;=Thresholds_Rates!$C$17),$C127*Thresholds_Rates!$F$17,IF(AND(OR($B$2="New Consultant Contract"),$B127&lt;&gt;""),$C127*Thresholds_Rates!$F$17,IF(AND(OR($B$2="Clinical Lecturer / Medical Research Fellow",$B$2="Clinical Consultant - Old Contract (GP)"),$B127&lt;&gt;""),$C127*Thresholds_Rates!$F$17,IF(AND(OR($B$2="APM Level 7",$B$2="R&amp;T Level 7"),G127&lt;&gt;""),$C127*Thresholds_Rates!$F$17,IF(SUMIF(Grades!$A:$A,$B$2,Grades!$BQ:$BQ)=1,$C127*Thresholds_Rates!$F$17,""))))))))</f>
        <v/>
      </c>
      <c r="I127" s="81"/>
      <c r="J127" s="81" t="str">
        <f ca="1">IF(B127="","",(C127*Thresholds_Rates!$C$12))</f>
        <v/>
      </c>
      <c r="K127" s="81"/>
      <c r="L127" s="68"/>
      <c r="M127" s="81" t="str">
        <f t="shared" ca="1" si="6"/>
        <v/>
      </c>
      <c r="N127" s="81" t="str">
        <f t="shared" ca="1" si="7"/>
        <v/>
      </c>
      <c r="O127" s="81" t="str">
        <f t="shared" ca="1" si="8"/>
        <v/>
      </c>
      <c r="P127" s="81" t="str">
        <f t="shared" ca="1" si="9"/>
        <v/>
      </c>
      <c r="Q127" s="81" t="str">
        <f t="shared" ca="1" si="10"/>
        <v/>
      </c>
      <c r="S127" s="83"/>
      <c r="T127" s="84"/>
      <c r="U127" s="83"/>
      <c r="V127" s="84"/>
    </row>
    <row r="128" spans="2:22" x14ac:dyDescent="0.25">
      <c r="B128" s="68" t="str">
        <f ca="1">IFERROR(INDEX('Points Lookup'!$A:$A,MATCH($AA130,'Points Lookup'!$AN:$AN,0)),"")</f>
        <v/>
      </c>
      <c r="C128" s="81" t="str">
        <f ca="1">IF(B128="","",IF($B$2="Apprenticeship",SUMIF('Points Lookup'!$AJ:$AJ,B128,'Points Lookup'!$AL:$AL),IF(AND(OR($B$2="New Consultant Contract"),$B128&lt;&gt;""),INDEX('Points Lookup'!$T:$T,MATCH($B128,'Points Lookup'!$S:$S,0)),IF(AND(OR($B$2="Clinical Lecturer / Medical Research Fellow",$B$2="Clinical Consultant - Old Contract (GP)"),$B128&lt;&gt;""),INDEX('Points Lookup'!$Q:$Q,MATCH($B128,'Points Lookup'!$P:$P,0)),IF(AND(OR($B$2="APM Level 7",$B$2="R&amp;T Level 7",$B$2="APM Level 8",$B$2="Technical Services Level 7"),B128&lt;&gt;""),INDEX('Points Lookup'!$H:$H,MATCH($AA128,'Points Lookup'!$AN:$AN,0)),IF($B$2="R&amp;T Level 5 - Clinical Lecturers (Vet School)",SUMIF('Points Lookup'!$V:$V,$B128,'Points Lookup'!$Y:$Y),IF($B$2="R&amp;T Level 6 - Clinical Associate Professors and Clinical Readers (Vet School)",SUMIF('Points Lookup'!$AC:$AC,$B128,'Points Lookup'!$AF:$AF),IFERROR(INDEX('Points Lookup'!$B:$B,MATCH($AA128,'Points Lookup'!$AN:$AN,0)),""))))))))</f>
        <v/>
      </c>
      <c r="D128" s="81"/>
      <c r="E128" s="81"/>
      <c r="F128" s="81" t="str">
        <f ca="1">IF($B128="","",IF(AND($B$2="Salary Points 3 to 57",B128&lt;Thresholds_Rates!$C$16),"-",IF(SUMIF(Grades!$A:$A,$B$2,Grades!$BO:$BO)=0,"-",IF(AND($B$2="Salary Points 3 to 57",B128&gt;=Thresholds_Rates!$C$16),$C128*Thresholds_Rates!$F$15,IF(AND(OR($B$2="New Consultant Contract"),$B128&lt;&gt;""),$C128*Thresholds_Rates!$F$15,IF(AND(OR($B$2="Clinical Lecturer / Medical Research Fellow",$B$2="Clinical Consultant - Old Contract (GP)"),$B128&lt;&gt;""),$C128*Thresholds_Rates!$F$15,IF(OR($B$2="APM Level 7",$B$2="R&amp;T Level 7"),$C128*Thresholds_Rates!$F$15,IF(SUMIF(Grades!$A:$A,$B$2,Grades!$BO:$BO)=1,$C128*Thresholds_Rates!$F$15,""))))))))</f>
        <v/>
      </c>
      <c r="G128" s="81" t="str">
        <f ca="1">IF(B128="","",IF($B$2="Salary Points 1 to 57","-",IF(SUMIF(Grades!$A:$A,$B$2,Grades!$BP:$BP)=0,"-",IF(AND(OR($B$2="New Consultant Contract"),$B128&lt;&gt;""),$C128*Thresholds_Rates!$F$16,IF(AND(OR($B$2="Clinical Lecturer / Medical Research Fellow",$B$2="Clinical Consultant - Old Contract (GP)"),$B128&lt;&gt;""),$C128*Thresholds_Rates!$F$16,IF(AND(OR($B$2="APM Level 7",$B$2="R&amp;T Level 7"),F128&lt;&gt;""),$C128*Thresholds_Rates!$F$16,IF(SUMIF(Grades!$A:$A,$B$2,Grades!$BP:$BP)=1,$C128*Thresholds_Rates!$F$16,"")))))))</f>
        <v/>
      </c>
      <c r="H128" s="81" t="str">
        <f ca="1">IF(B128="","",IF(SUMIF(Grades!$A:$A,$B$2,Grades!$BQ:$BQ)=0,"-",IF(AND($B$2="Salary Points 1 to 57",B128&gt;Thresholds_Rates!$C$17),"-",IF(AND($B$2="Salary Points 1 to 57",B128&lt;=Thresholds_Rates!$C$17),$C128*Thresholds_Rates!$F$17,IF(AND(OR($B$2="New Consultant Contract"),$B128&lt;&gt;""),$C128*Thresholds_Rates!$F$17,IF(AND(OR($B$2="Clinical Lecturer / Medical Research Fellow",$B$2="Clinical Consultant - Old Contract (GP)"),$B128&lt;&gt;""),$C128*Thresholds_Rates!$F$17,IF(AND(OR($B$2="APM Level 7",$B$2="R&amp;T Level 7"),G128&lt;&gt;""),$C128*Thresholds_Rates!$F$17,IF(SUMIF(Grades!$A:$A,$B$2,Grades!$BQ:$BQ)=1,$C128*Thresholds_Rates!$F$17,""))))))))</f>
        <v/>
      </c>
      <c r="I128" s="81"/>
      <c r="J128" s="81" t="str">
        <f ca="1">IF(B128="","",(C128*Thresholds_Rates!$C$12))</f>
        <v/>
      </c>
      <c r="K128" s="81"/>
      <c r="L128" s="68"/>
      <c r="M128" s="81" t="str">
        <f t="shared" ca="1" si="6"/>
        <v/>
      </c>
      <c r="N128" s="81" t="str">
        <f t="shared" ca="1" si="7"/>
        <v/>
      </c>
      <c r="O128" s="81" t="str">
        <f t="shared" ca="1" si="8"/>
        <v/>
      </c>
      <c r="P128" s="81" t="str">
        <f t="shared" ca="1" si="9"/>
        <v/>
      </c>
      <c r="Q128" s="81" t="str">
        <f t="shared" ca="1" si="10"/>
        <v/>
      </c>
      <c r="S128" s="83"/>
      <c r="T128" s="84"/>
      <c r="U128" s="83"/>
      <c r="V128" s="84"/>
    </row>
    <row r="129" spans="2:22" x14ac:dyDescent="0.25">
      <c r="B129" s="68" t="str">
        <f ca="1">IFERROR(INDEX('Points Lookup'!$A:$A,MATCH($AA131,'Points Lookup'!$AN:$AN,0)),"")</f>
        <v/>
      </c>
      <c r="C129" s="81" t="str">
        <f ca="1">IF(B129="","",IF($B$2="Apprenticeship",SUMIF('Points Lookup'!$AJ:$AJ,B129,'Points Lookup'!$AL:$AL),IF(AND(OR($B$2="New Consultant Contract"),$B129&lt;&gt;""),INDEX('Points Lookup'!$T:$T,MATCH($B129,'Points Lookup'!$S:$S,0)),IF(AND(OR($B$2="Clinical Lecturer / Medical Research Fellow",$B$2="Clinical Consultant - Old Contract (GP)"),$B129&lt;&gt;""),INDEX('Points Lookup'!$Q:$Q,MATCH($B129,'Points Lookup'!$P:$P,0)),IF(AND(OR($B$2="APM Level 7",$B$2="R&amp;T Level 7",$B$2="APM Level 8",$B$2="Technical Services Level 7"),B129&lt;&gt;""),INDEX('Points Lookup'!$H:$H,MATCH($AA129,'Points Lookup'!$AN:$AN,0)),IF($B$2="R&amp;T Level 5 - Clinical Lecturers (Vet School)",SUMIF('Points Lookup'!$V:$V,$B129,'Points Lookup'!$Y:$Y),IF($B$2="R&amp;T Level 6 - Clinical Associate Professors and Clinical Readers (Vet School)",SUMIF('Points Lookup'!$AC:$AC,$B129,'Points Lookup'!$AF:$AF),IFERROR(INDEX('Points Lookup'!$B:$B,MATCH($AA129,'Points Lookup'!$AN:$AN,0)),""))))))))</f>
        <v/>
      </c>
      <c r="D129" s="81"/>
      <c r="E129" s="81"/>
      <c r="F129" s="81" t="str">
        <f ca="1">IF($B129="","",IF(AND($B$2="Salary Points 3 to 57",B129&lt;Thresholds_Rates!$C$16),"-",IF(SUMIF(Grades!$A:$A,$B$2,Grades!$BO:$BO)=0,"-",IF(AND($B$2="Salary Points 3 to 57",B129&gt;=Thresholds_Rates!$C$16),$C129*Thresholds_Rates!$F$15,IF(AND(OR($B$2="New Consultant Contract"),$B129&lt;&gt;""),$C129*Thresholds_Rates!$F$15,IF(AND(OR($B$2="Clinical Lecturer / Medical Research Fellow",$B$2="Clinical Consultant - Old Contract (GP)"),$B129&lt;&gt;""),$C129*Thresholds_Rates!$F$15,IF(OR($B$2="APM Level 7",$B$2="R&amp;T Level 7"),$C129*Thresholds_Rates!$F$15,IF(SUMIF(Grades!$A:$A,$B$2,Grades!$BO:$BO)=1,$C129*Thresholds_Rates!$F$15,""))))))))</f>
        <v/>
      </c>
      <c r="G129" s="81" t="str">
        <f ca="1">IF(B129="","",IF($B$2="Salary Points 1 to 57","-",IF(SUMIF(Grades!$A:$A,$B$2,Grades!$BP:$BP)=0,"-",IF(AND(OR($B$2="New Consultant Contract"),$B129&lt;&gt;""),$C129*Thresholds_Rates!$F$16,IF(AND(OR($B$2="Clinical Lecturer / Medical Research Fellow",$B$2="Clinical Consultant - Old Contract (GP)"),$B129&lt;&gt;""),$C129*Thresholds_Rates!$F$16,IF(AND(OR($B$2="APM Level 7",$B$2="R&amp;T Level 7"),F129&lt;&gt;""),$C129*Thresholds_Rates!$F$16,IF(SUMIF(Grades!$A:$A,$B$2,Grades!$BP:$BP)=1,$C129*Thresholds_Rates!$F$16,"")))))))</f>
        <v/>
      </c>
      <c r="H129" s="81" t="str">
        <f ca="1">IF(B129="","",IF(SUMIF(Grades!$A:$A,$B$2,Grades!$BQ:$BQ)=0,"-",IF(AND($B$2="Salary Points 1 to 57",B129&gt;Thresholds_Rates!$C$17),"-",IF(AND($B$2="Salary Points 1 to 57",B129&lt;=Thresholds_Rates!$C$17),$C129*Thresholds_Rates!$F$17,IF(AND(OR($B$2="New Consultant Contract"),$B129&lt;&gt;""),$C129*Thresholds_Rates!$F$17,IF(AND(OR($B$2="Clinical Lecturer / Medical Research Fellow",$B$2="Clinical Consultant - Old Contract (GP)"),$B129&lt;&gt;""),$C129*Thresholds_Rates!$F$17,IF(AND(OR($B$2="APM Level 7",$B$2="R&amp;T Level 7"),G129&lt;&gt;""),$C129*Thresholds_Rates!$F$17,IF(SUMIF(Grades!$A:$A,$B$2,Grades!$BQ:$BQ)=1,$C129*Thresholds_Rates!$F$17,""))))))))</f>
        <v/>
      </c>
      <c r="I129" s="81"/>
      <c r="J129" s="81" t="str">
        <f ca="1">IF(B129="","",(C129*Thresholds_Rates!$C$12))</f>
        <v/>
      </c>
      <c r="K129" s="81"/>
      <c r="L129" s="68"/>
      <c r="M129" s="81" t="str">
        <f t="shared" ca="1" si="6"/>
        <v/>
      </c>
      <c r="N129" s="81" t="str">
        <f t="shared" ca="1" si="7"/>
        <v/>
      </c>
      <c r="O129" s="81" t="str">
        <f t="shared" ca="1" si="8"/>
        <v/>
      </c>
      <c r="P129" s="81" t="str">
        <f t="shared" ca="1" si="9"/>
        <v/>
      </c>
      <c r="Q129" s="81" t="str">
        <f t="shared" ca="1" si="10"/>
        <v/>
      </c>
      <c r="S129" s="83"/>
      <c r="T129" s="84"/>
      <c r="U129" s="83"/>
      <c r="V129" s="84"/>
    </row>
    <row r="130" spans="2:22" x14ac:dyDescent="0.25">
      <c r="B130" s="68" t="str">
        <f ca="1">IFERROR(INDEX('Points Lookup'!$A:$A,MATCH($AA132,'Points Lookup'!$AN:$AN,0)),"")</f>
        <v/>
      </c>
      <c r="C130" s="81" t="str">
        <f ca="1">IF(B130="","",IF($B$2="Apprenticeship",SUMIF('Points Lookup'!$AJ:$AJ,B130,'Points Lookup'!$AL:$AL),IF(AND(OR($B$2="New Consultant Contract"),$B130&lt;&gt;""),INDEX('Points Lookup'!$T:$T,MATCH($B130,'Points Lookup'!$S:$S,0)),IF(AND(OR($B$2="Clinical Lecturer / Medical Research Fellow",$B$2="Clinical Consultant - Old Contract (GP)"),$B130&lt;&gt;""),INDEX('Points Lookup'!$Q:$Q,MATCH($B130,'Points Lookup'!$P:$P,0)),IF(AND(OR($B$2="APM Level 7",$B$2="R&amp;T Level 7",$B$2="APM Level 8",$B$2="Technical Services Level 7"),B130&lt;&gt;""),INDEX('Points Lookup'!$H:$H,MATCH($AA130,'Points Lookup'!$AN:$AN,0)),IF($B$2="R&amp;T Level 5 - Clinical Lecturers (Vet School)",SUMIF('Points Lookup'!$V:$V,$B130,'Points Lookup'!$Y:$Y),IF($B$2="R&amp;T Level 6 - Clinical Associate Professors and Clinical Readers (Vet School)",SUMIF('Points Lookup'!$AC:$AC,$B130,'Points Lookup'!$AF:$AF),IFERROR(INDEX('Points Lookup'!$B:$B,MATCH($AA130,'Points Lookup'!$AN:$AN,0)),""))))))))</f>
        <v/>
      </c>
      <c r="D130" s="81"/>
      <c r="E130" s="81"/>
      <c r="F130" s="81" t="str">
        <f ca="1">IF($B130="","",IF(AND($B$2="Salary Points 3 to 57",B130&lt;Thresholds_Rates!$C$16),"-",IF(SUMIF(Grades!$A:$A,$B$2,Grades!$BO:$BO)=0,"-",IF(AND($B$2="Salary Points 3 to 57",B130&gt;=Thresholds_Rates!$C$16),$C130*Thresholds_Rates!$F$15,IF(AND(OR($B$2="New Consultant Contract"),$B130&lt;&gt;""),$C130*Thresholds_Rates!$F$15,IF(AND(OR($B$2="Clinical Lecturer / Medical Research Fellow",$B$2="Clinical Consultant - Old Contract (GP)"),$B130&lt;&gt;""),$C130*Thresholds_Rates!$F$15,IF(OR($B$2="APM Level 7",$B$2="R&amp;T Level 7"),$C130*Thresholds_Rates!$F$15,IF(SUMIF(Grades!$A:$A,$B$2,Grades!$BO:$BO)=1,$C130*Thresholds_Rates!$F$15,""))))))))</f>
        <v/>
      </c>
      <c r="G130" s="81" t="str">
        <f ca="1">IF(B130="","",IF($B$2="Salary Points 1 to 57","-",IF(SUMIF(Grades!$A:$A,$B$2,Grades!$BP:$BP)=0,"-",IF(AND(OR($B$2="New Consultant Contract"),$B130&lt;&gt;""),$C130*Thresholds_Rates!$F$16,IF(AND(OR($B$2="Clinical Lecturer / Medical Research Fellow",$B$2="Clinical Consultant - Old Contract (GP)"),$B130&lt;&gt;""),$C130*Thresholds_Rates!$F$16,IF(AND(OR($B$2="APM Level 7",$B$2="R&amp;T Level 7"),F130&lt;&gt;""),$C130*Thresholds_Rates!$F$16,IF(SUMIF(Grades!$A:$A,$B$2,Grades!$BP:$BP)=1,$C130*Thresholds_Rates!$F$16,"")))))))</f>
        <v/>
      </c>
      <c r="H130" s="81" t="str">
        <f ca="1">IF(B130="","",IF(SUMIF(Grades!$A:$A,$B$2,Grades!$BQ:$BQ)=0,"-",IF(AND($B$2="Salary Points 1 to 57",B130&gt;Thresholds_Rates!$C$17),"-",IF(AND($B$2="Salary Points 1 to 57",B130&lt;=Thresholds_Rates!$C$17),$C130*Thresholds_Rates!$F$17,IF(AND(OR($B$2="New Consultant Contract"),$B130&lt;&gt;""),$C130*Thresholds_Rates!$F$17,IF(AND(OR($B$2="Clinical Lecturer / Medical Research Fellow",$B$2="Clinical Consultant - Old Contract (GP)"),$B130&lt;&gt;""),$C130*Thresholds_Rates!$F$17,IF(AND(OR($B$2="APM Level 7",$B$2="R&amp;T Level 7"),G130&lt;&gt;""),$C130*Thresholds_Rates!$F$17,IF(SUMIF(Grades!$A:$A,$B$2,Grades!$BQ:$BQ)=1,$C130*Thresholds_Rates!$F$17,""))))))))</f>
        <v/>
      </c>
      <c r="I130" s="81"/>
      <c r="J130" s="81" t="str">
        <f ca="1">IF(B130="","",(C130*Thresholds_Rates!$C$12))</f>
        <v/>
      </c>
      <c r="K130" s="81"/>
      <c r="L130" s="68"/>
      <c r="M130" s="81" t="str">
        <f t="shared" ca="1" si="6"/>
        <v/>
      </c>
      <c r="N130" s="81" t="str">
        <f t="shared" ca="1" si="7"/>
        <v/>
      </c>
      <c r="O130" s="81" t="str">
        <f t="shared" ca="1" si="8"/>
        <v/>
      </c>
      <c r="P130" s="81" t="str">
        <f t="shared" ca="1" si="9"/>
        <v/>
      </c>
      <c r="Q130" s="81" t="str">
        <f t="shared" ca="1" si="10"/>
        <v/>
      </c>
      <c r="S130" s="83"/>
      <c r="T130" s="84"/>
      <c r="U130" s="83"/>
      <c r="V130" s="84"/>
    </row>
    <row r="131" spans="2:22" x14ac:dyDescent="0.25">
      <c r="B131" s="68" t="str">
        <f ca="1">IFERROR(INDEX('Points Lookup'!$A:$A,MATCH($AA133,'Points Lookup'!$AN:$AN,0)),"")</f>
        <v/>
      </c>
      <c r="C131" s="81" t="str">
        <f ca="1">IF(B131="","",IF($B$2="Apprenticeship",SUMIF('Points Lookup'!$AJ:$AJ,B131,'Points Lookup'!$AL:$AL),IF(AND(OR($B$2="New Consultant Contract"),$B131&lt;&gt;""),INDEX('Points Lookup'!$T:$T,MATCH($B131,'Points Lookup'!$S:$S,0)),IF(AND(OR($B$2="Clinical Lecturer / Medical Research Fellow",$B$2="Clinical Consultant - Old Contract (GP)"),$B131&lt;&gt;""),INDEX('Points Lookup'!$Q:$Q,MATCH($B131,'Points Lookup'!$P:$P,0)),IF(AND(OR($B$2="APM Level 7",$B$2="R&amp;T Level 7",$B$2="APM Level 8",$B$2="Technical Services Level 7"),B131&lt;&gt;""),INDEX('Points Lookup'!$H:$H,MATCH($AA131,'Points Lookup'!$AN:$AN,0)),IF($B$2="R&amp;T Level 5 - Clinical Lecturers (Vet School)",SUMIF('Points Lookup'!$V:$V,$B131,'Points Lookup'!$Y:$Y),IF($B$2="R&amp;T Level 6 - Clinical Associate Professors and Clinical Readers (Vet School)",SUMIF('Points Lookup'!$AC:$AC,$B131,'Points Lookup'!$AF:$AF),IFERROR(INDEX('Points Lookup'!$B:$B,MATCH($AA131,'Points Lookup'!$AN:$AN,0)),""))))))))</f>
        <v/>
      </c>
      <c r="D131" s="81"/>
      <c r="E131" s="81"/>
      <c r="F131" s="81" t="str">
        <f ca="1">IF($B131="","",IF(AND($B$2="Salary Points 3 to 57",B131&lt;Thresholds_Rates!$C$16),"-",IF(SUMIF(Grades!$A:$A,$B$2,Grades!$BO:$BO)=0,"-",IF(AND($B$2="Salary Points 3 to 57",B131&gt;=Thresholds_Rates!$C$16),$C131*Thresholds_Rates!$F$15,IF(AND(OR($B$2="New Consultant Contract"),$B131&lt;&gt;""),$C131*Thresholds_Rates!$F$15,IF(AND(OR($B$2="Clinical Lecturer / Medical Research Fellow",$B$2="Clinical Consultant - Old Contract (GP)"),$B131&lt;&gt;""),$C131*Thresholds_Rates!$F$15,IF(OR($B$2="APM Level 7",$B$2="R&amp;T Level 7"),$C131*Thresholds_Rates!$F$15,IF(SUMIF(Grades!$A:$A,$B$2,Grades!$BO:$BO)=1,$C131*Thresholds_Rates!$F$15,""))))))))</f>
        <v/>
      </c>
      <c r="G131" s="81" t="str">
        <f ca="1">IF(B131="","",IF($B$2="Salary Points 1 to 57","-",IF(SUMIF(Grades!$A:$A,$B$2,Grades!$BP:$BP)=0,"-",IF(AND(OR($B$2="New Consultant Contract"),$B131&lt;&gt;""),$C131*Thresholds_Rates!$F$16,IF(AND(OR($B$2="Clinical Lecturer / Medical Research Fellow",$B$2="Clinical Consultant - Old Contract (GP)"),$B131&lt;&gt;""),$C131*Thresholds_Rates!$F$16,IF(AND(OR($B$2="APM Level 7",$B$2="R&amp;T Level 7"),F131&lt;&gt;""),$C131*Thresholds_Rates!$F$16,IF(SUMIF(Grades!$A:$A,$B$2,Grades!$BP:$BP)=1,$C131*Thresholds_Rates!$F$16,"")))))))</f>
        <v/>
      </c>
      <c r="H131" s="81" t="str">
        <f ca="1">IF(B131="","",IF(SUMIF(Grades!$A:$A,$B$2,Grades!$BQ:$BQ)=0,"-",IF(AND($B$2="Salary Points 1 to 57",B131&gt;Thresholds_Rates!$C$17),"-",IF(AND($B$2="Salary Points 1 to 57",B131&lt;=Thresholds_Rates!$C$17),$C131*Thresholds_Rates!$F$17,IF(AND(OR($B$2="New Consultant Contract"),$B131&lt;&gt;""),$C131*Thresholds_Rates!$F$17,IF(AND(OR($B$2="Clinical Lecturer / Medical Research Fellow",$B$2="Clinical Consultant - Old Contract (GP)"),$B131&lt;&gt;""),$C131*Thresholds_Rates!$F$17,IF(AND(OR($B$2="APM Level 7",$B$2="R&amp;T Level 7"),G131&lt;&gt;""),$C131*Thresholds_Rates!$F$17,IF(SUMIF(Grades!$A:$A,$B$2,Grades!$BQ:$BQ)=1,$C131*Thresholds_Rates!$F$17,""))))))))</f>
        <v/>
      </c>
      <c r="I131" s="81"/>
      <c r="J131" s="81" t="str">
        <f ca="1">IF(B131="","",(C131*Thresholds_Rates!$C$12))</f>
        <v/>
      </c>
      <c r="K131" s="81"/>
      <c r="L131" s="68"/>
      <c r="M131" s="81" t="str">
        <f t="shared" ca="1" si="6"/>
        <v/>
      </c>
      <c r="N131" s="81" t="str">
        <f t="shared" ca="1" si="7"/>
        <v/>
      </c>
      <c r="O131" s="81" t="str">
        <f t="shared" ca="1" si="8"/>
        <v/>
      </c>
      <c r="P131" s="81" t="str">
        <f t="shared" ca="1" si="9"/>
        <v/>
      </c>
      <c r="Q131" s="81" t="str">
        <f t="shared" ca="1" si="10"/>
        <v/>
      </c>
      <c r="S131" s="83"/>
      <c r="T131" s="84"/>
      <c r="U131" s="83"/>
      <c r="V131" s="84"/>
    </row>
    <row r="132" spans="2:22" x14ac:dyDescent="0.25">
      <c r="B132" s="68" t="str">
        <f ca="1">IFERROR(INDEX('Points Lookup'!$A:$A,MATCH($AA134,'Points Lookup'!$AN:$AN,0)),"")</f>
        <v/>
      </c>
      <c r="C132" s="81" t="str">
        <f ca="1">IF(B132="","",IF($B$2="Apprenticeship",SUMIF('Points Lookup'!$AJ:$AJ,B132,'Points Lookup'!$AL:$AL),IF(AND(OR($B$2="New Consultant Contract"),$B132&lt;&gt;""),INDEX('Points Lookup'!$T:$T,MATCH($B132,'Points Lookup'!$S:$S,0)),IF(AND(OR($B$2="Clinical Lecturer / Medical Research Fellow",$B$2="Clinical Consultant - Old Contract (GP)"),$B132&lt;&gt;""),INDEX('Points Lookup'!$Q:$Q,MATCH($B132,'Points Lookup'!$P:$P,0)),IF(AND(OR($B$2="APM Level 7",$B$2="R&amp;T Level 7",$B$2="APM Level 8",$B$2="Technical Services Level 7"),B132&lt;&gt;""),INDEX('Points Lookup'!$H:$H,MATCH($AA132,'Points Lookup'!$AN:$AN,0)),IF($B$2="R&amp;T Level 5 - Clinical Lecturers (Vet School)",SUMIF('Points Lookup'!$V:$V,$B132,'Points Lookup'!$Y:$Y),IF($B$2="R&amp;T Level 6 - Clinical Associate Professors and Clinical Readers (Vet School)",SUMIF('Points Lookup'!$AC:$AC,$B132,'Points Lookup'!$AF:$AF),IFERROR(INDEX('Points Lookup'!$B:$B,MATCH($AA132,'Points Lookup'!$AN:$AN,0)),""))))))))</f>
        <v/>
      </c>
      <c r="D132" s="81"/>
      <c r="E132" s="81"/>
      <c r="F132" s="81" t="str">
        <f ca="1">IF($B132="","",IF(AND($B$2="Salary Points 3 to 57",B132&lt;Thresholds_Rates!$C$16),"-",IF(SUMIF(Grades!$A:$A,$B$2,Grades!$BO:$BO)=0,"-",IF(AND($B$2="Salary Points 3 to 57",B132&gt;=Thresholds_Rates!$C$16),$C132*Thresholds_Rates!$F$15,IF(AND(OR($B$2="New Consultant Contract"),$B132&lt;&gt;""),$C132*Thresholds_Rates!$F$15,IF(AND(OR($B$2="Clinical Lecturer / Medical Research Fellow",$B$2="Clinical Consultant - Old Contract (GP)"),$B132&lt;&gt;""),$C132*Thresholds_Rates!$F$15,IF(OR($B$2="APM Level 7",$B$2="R&amp;T Level 7"),$C132*Thresholds_Rates!$F$15,IF(SUMIF(Grades!$A:$A,$B$2,Grades!$BO:$BO)=1,$C132*Thresholds_Rates!$F$15,""))))))))</f>
        <v/>
      </c>
      <c r="G132" s="81" t="str">
        <f ca="1">IF(B132="","",IF($B$2="Salary Points 1 to 57","-",IF(SUMIF(Grades!$A:$A,$B$2,Grades!$BP:$BP)=0,"-",IF(AND(OR($B$2="New Consultant Contract"),$B132&lt;&gt;""),$C132*Thresholds_Rates!$F$16,IF(AND(OR($B$2="Clinical Lecturer / Medical Research Fellow",$B$2="Clinical Consultant - Old Contract (GP)"),$B132&lt;&gt;""),$C132*Thresholds_Rates!$F$16,IF(AND(OR($B$2="APM Level 7",$B$2="R&amp;T Level 7"),F132&lt;&gt;""),$C132*Thresholds_Rates!$F$16,IF(SUMIF(Grades!$A:$A,$B$2,Grades!$BP:$BP)=1,$C132*Thresholds_Rates!$F$16,"")))))))</f>
        <v/>
      </c>
      <c r="H132" s="81" t="str">
        <f ca="1">IF(B132="","",IF(SUMIF(Grades!$A:$A,$B$2,Grades!$BQ:$BQ)=0,"-",IF(AND($B$2="Salary Points 1 to 57",B132&gt;Thresholds_Rates!$C$17),"-",IF(AND($B$2="Salary Points 1 to 57",B132&lt;=Thresholds_Rates!$C$17),$C132*Thresholds_Rates!$F$17,IF(AND(OR($B$2="New Consultant Contract"),$B132&lt;&gt;""),$C132*Thresholds_Rates!$F$17,IF(AND(OR($B$2="Clinical Lecturer / Medical Research Fellow",$B$2="Clinical Consultant - Old Contract (GP)"),$B132&lt;&gt;""),$C132*Thresholds_Rates!$F$17,IF(AND(OR($B$2="APM Level 7",$B$2="R&amp;T Level 7"),G132&lt;&gt;""),$C132*Thresholds_Rates!$F$17,IF(SUMIF(Grades!$A:$A,$B$2,Grades!$BQ:$BQ)=1,$C132*Thresholds_Rates!$F$17,""))))))))</f>
        <v/>
      </c>
      <c r="I132" s="81"/>
      <c r="J132" s="81" t="str">
        <f ca="1">IF(B132="","",(C132*Thresholds_Rates!$C$12))</f>
        <v/>
      </c>
      <c r="K132" s="81"/>
      <c r="L132" s="68"/>
      <c r="M132" s="81" t="str">
        <f t="shared" ca="1" si="6"/>
        <v/>
      </c>
      <c r="N132" s="81" t="str">
        <f t="shared" ca="1" si="7"/>
        <v/>
      </c>
      <c r="O132" s="81" t="str">
        <f t="shared" ca="1" si="8"/>
        <v/>
      </c>
      <c r="P132" s="81" t="str">
        <f t="shared" ca="1" si="9"/>
        <v/>
      </c>
      <c r="Q132" s="81" t="str">
        <f t="shared" ca="1" si="10"/>
        <v/>
      </c>
      <c r="S132" s="83"/>
      <c r="T132" s="84"/>
      <c r="U132" s="83"/>
      <c r="V132" s="84"/>
    </row>
    <row r="133" spans="2:22" x14ac:dyDescent="0.25">
      <c r="B133" s="68" t="str">
        <f ca="1">IFERROR(INDEX('Points Lookup'!$A:$A,MATCH($AA135,'Points Lookup'!$AN:$AN,0)),"")</f>
        <v/>
      </c>
      <c r="C133" s="81" t="str">
        <f ca="1">IF(B133="","",IF($B$2="Apprenticeship",SUMIF('Points Lookup'!$AJ:$AJ,B133,'Points Lookup'!$AL:$AL),IF(AND(OR($B$2="New Consultant Contract"),$B133&lt;&gt;""),INDEX('Points Lookup'!$T:$T,MATCH($B133,'Points Lookup'!$S:$S,0)),IF(AND(OR($B$2="Clinical Lecturer / Medical Research Fellow",$B$2="Clinical Consultant - Old Contract (GP)"),$B133&lt;&gt;""),INDEX('Points Lookup'!$Q:$Q,MATCH($B133,'Points Lookup'!$P:$P,0)),IF(AND(OR($B$2="APM Level 7",$B$2="R&amp;T Level 7",$B$2="APM Level 8",$B$2="Technical Services Level 7"),B133&lt;&gt;""),INDEX('Points Lookup'!$H:$H,MATCH($AA133,'Points Lookup'!$AN:$AN,0)),IF($B$2="R&amp;T Level 5 - Clinical Lecturers (Vet School)",SUMIF('Points Lookup'!$V:$V,$B133,'Points Lookup'!$Y:$Y),IF($B$2="R&amp;T Level 6 - Clinical Associate Professors and Clinical Readers (Vet School)",SUMIF('Points Lookup'!$AC:$AC,$B133,'Points Lookup'!$AF:$AF),IFERROR(INDEX('Points Lookup'!$B:$B,MATCH($AA133,'Points Lookup'!$AN:$AN,0)),""))))))))</f>
        <v/>
      </c>
      <c r="D133" s="81"/>
      <c r="E133" s="81"/>
      <c r="F133" s="81" t="str">
        <f ca="1">IF($B133="","",IF(AND($B$2="Salary Points 3 to 57",B133&lt;Thresholds_Rates!$C$16),"-",IF(SUMIF(Grades!$A:$A,$B$2,Grades!$BO:$BO)=0,"-",IF(AND($B$2="Salary Points 3 to 57",B133&gt;=Thresholds_Rates!$C$16),$C133*Thresholds_Rates!$F$15,IF(AND(OR($B$2="New Consultant Contract"),$B133&lt;&gt;""),$C133*Thresholds_Rates!$F$15,IF(AND(OR($B$2="Clinical Lecturer / Medical Research Fellow",$B$2="Clinical Consultant - Old Contract (GP)"),$B133&lt;&gt;""),$C133*Thresholds_Rates!$F$15,IF(OR($B$2="APM Level 7",$B$2="R&amp;T Level 7"),$C133*Thresholds_Rates!$F$15,IF(SUMIF(Grades!$A:$A,$B$2,Grades!$BO:$BO)=1,$C133*Thresholds_Rates!$F$15,""))))))))</f>
        <v/>
      </c>
      <c r="G133" s="81" t="str">
        <f ca="1">IF(B133="","",IF($B$2="Salary Points 1 to 57","-",IF(SUMIF(Grades!$A:$A,$B$2,Grades!$BP:$BP)=0,"-",IF(AND(OR($B$2="New Consultant Contract"),$B133&lt;&gt;""),$C133*Thresholds_Rates!$F$16,IF(AND(OR($B$2="Clinical Lecturer / Medical Research Fellow",$B$2="Clinical Consultant - Old Contract (GP)"),$B133&lt;&gt;""),$C133*Thresholds_Rates!$F$16,IF(AND(OR($B$2="APM Level 7",$B$2="R&amp;T Level 7"),F133&lt;&gt;""),$C133*Thresholds_Rates!$F$16,IF(SUMIF(Grades!$A:$A,$B$2,Grades!$BP:$BP)=1,$C133*Thresholds_Rates!$F$16,"")))))))</f>
        <v/>
      </c>
      <c r="H133" s="81" t="str">
        <f ca="1">IF(B133="","",IF(SUMIF(Grades!$A:$A,$B$2,Grades!$BQ:$BQ)=0,"-",IF(AND($B$2="Salary Points 1 to 57",B133&gt;Thresholds_Rates!$C$17),"-",IF(AND($B$2="Salary Points 1 to 57",B133&lt;=Thresholds_Rates!$C$17),$C133*Thresholds_Rates!$F$17,IF(AND(OR($B$2="New Consultant Contract"),$B133&lt;&gt;""),$C133*Thresholds_Rates!$F$17,IF(AND(OR($B$2="Clinical Lecturer / Medical Research Fellow",$B$2="Clinical Consultant - Old Contract (GP)"),$B133&lt;&gt;""),$C133*Thresholds_Rates!$F$17,IF(AND(OR($B$2="APM Level 7",$B$2="R&amp;T Level 7"),G133&lt;&gt;""),$C133*Thresholds_Rates!$F$17,IF(SUMIF(Grades!$A:$A,$B$2,Grades!$BQ:$BQ)=1,$C133*Thresholds_Rates!$F$17,""))))))))</f>
        <v/>
      </c>
      <c r="I133" s="81"/>
      <c r="J133" s="81" t="str">
        <f ca="1">IF(B133="","",(C133*Thresholds_Rates!$C$12))</f>
        <v/>
      </c>
      <c r="K133" s="81"/>
      <c r="L133" s="68"/>
      <c r="M133" s="81" t="str">
        <f t="shared" ca="1" si="6"/>
        <v/>
      </c>
      <c r="N133" s="81" t="str">
        <f t="shared" ca="1" si="7"/>
        <v/>
      </c>
      <c r="O133" s="81" t="str">
        <f t="shared" ca="1" si="8"/>
        <v/>
      </c>
      <c r="P133" s="81" t="str">
        <f t="shared" ca="1" si="9"/>
        <v/>
      </c>
      <c r="Q133" s="81" t="str">
        <f t="shared" ca="1" si="10"/>
        <v/>
      </c>
      <c r="S133" s="83"/>
      <c r="T133" s="84"/>
      <c r="U133" s="83"/>
      <c r="V133" s="84"/>
    </row>
    <row r="134" spans="2:22" x14ac:dyDescent="0.25">
      <c r="B134" s="68" t="str">
        <f ca="1">IFERROR(INDEX('Points Lookup'!$A:$A,MATCH($AA136,'Points Lookup'!$AN:$AN,0)),"")</f>
        <v/>
      </c>
      <c r="C134" s="81" t="str">
        <f ca="1">IF(B134="","",IF($B$2="Apprenticeship",SUMIF('Points Lookup'!$AJ:$AJ,B134,'Points Lookup'!$AL:$AL),IF(AND(OR($B$2="New Consultant Contract"),$B134&lt;&gt;""),INDEX('Points Lookup'!$T:$T,MATCH($B134,'Points Lookup'!$S:$S,0)),IF(AND(OR($B$2="Clinical Lecturer / Medical Research Fellow",$B$2="Clinical Consultant - Old Contract (GP)"),$B134&lt;&gt;""),INDEX('Points Lookup'!$Q:$Q,MATCH($B134,'Points Lookup'!$P:$P,0)),IF(AND(OR($B$2="APM Level 7",$B$2="R&amp;T Level 7",$B$2="APM Level 8",$B$2="Technical Services Level 7"),B134&lt;&gt;""),INDEX('Points Lookup'!$H:$H,MATCH($AA134,'Points Lookup'!$AN:$AN,0)),IF($B$2="R&amp;T Level 5 - Clinical Lecturers (Vet School)",SUMIF('Points Lookup'!$V:$V,$B134,'Points Lookup'!$Y:$Y),IF($B$2="R&amp;T Level 6 - Clinical Associate Professors and Clinical Readers (Vet School)",SUMIF('Points Lookup'!$AC:$AC,$B134,'Points Lookup'!$AF:$AF),IFERROR(INDEX('Points Lookup'!$B:$B,MATCH($AA134,'Points Lookup'!$AN:$AN,0)),""))))))))</f>
        <v/>
      </c>
      <c r="D134" s="81"/>
      <c r="E134" s="81"/>
      <c r="F134" s="81" t="str">
        <f ca="1">IF($B134="","",IF(AND($B$2="Salary Points 3 to 57",B134&lt;Thresholds_Rates!$C$16),"-",IF(SUMIF(Grades!$A:$A,$B$2,Grades!$BO:$BO)=0,"-",IF(AND($B$2="Salary Points 3 to 57",B134&gt;=Thresholds_Rates!$C$16),$C134*Thresholds_Rates!$F$15,IF(AND(OR($B$2="New Consultant Contract"),$B134&lt;&gt;""),$C134*Thresholds_Rates!$F$15,IF(AND(OR($B$2="Clinical Lecturer / Medical Research Fellow",$B$2="Clinical Consultant - Old Contract (GP)"),$B134&lt;&gt;""),$C134*Thresholds_Rates!$F$15,IF(OR($B$2="APM Level 7",$B$2="R&amp;T Level 7"),$C134*Thresholds_Rates!$F$15,IF(SUMIF(Grades!$A:$A,$B$2,Grades!$BO:$BO)=1,$C134*Thresholds_Rates!$F$15,""))))))))</f>
        <v/>
      </c>
      <c r="G134" s="81" t="str">
        <f ca="1">IF(B134="","",IF($B$2="Salary Points 1 to 57","-",IF(SUMIF(Grades!$A:$A,$B$2,Grades!$BP:$BP)=0,"-",IF(AND(OR($B$2="New Consultant Contract"),$B134&lt;&gt;""),$C134*Thresholds_Rates!$F$16,IF(AND(OR($B$2="Clinical Lecturer / Medical Research Fellow",$B$2="Clinical Consultant - Old Contract (GP)"),$B134&lt;&gt;""),$C134*Thresholds_Rates!$F$16,IF(AND(OR($B$2="APM Level 7",$B$2="R&amp;T Level 7"),F134&lt;&gt;""),$C134*Thresholds_Rates!$F$16,IF(SUMIF(Grades!$A:$A,$B$2,Grades!$BP:$BP)=1,$C134*Thresholds_Rates!$F$16,"")))))))</f>
        <v/>
      </c>
      <c r="H134" s="81" t="str">
        <f ca="1">IF(B134="","",IF(SUMIF(Grades!$A:$A,$B$2,Grades!$BQ:$BQ)=0,"-",IF(AND($B$2="Salary Points 1 to 57",B134&gt;Thresholds_Rates!$C$17),"-",IF(AND($B$2="Salary Points 1 to 57",B134&lt;=Thresholds_Rates!$C$17),$C134*Thresholds_Rates!$F$17,IF(AND(OR($B$2="New Consultant Contract"),$B134&lt;&gt;""),$C134*Thresholds_Rates!$F$17,IF(AND(OR($B$2="Clinical Lecturer / Medical Research Fellow",$B$2="Clinical Consultant - Old Contract (GP)"),$B134&lt;&gt;""),$C134*Thresholds_Rates!$F$17,IF(AND(OR($B$2="APM Level 7",$B$2="R&amp;T Level 7"),G134&lt;&gt;""),$C134*Thresholds_Rates!$F$17,IF(SUMIF(Grades!$A:$A,$B$2,Grades!$BQ:$BQ)=1,$C134*Thresholds_Rates!$F$17,""))))))))</f>
        <v/>
      </c>
      <c r="I134" s="81"/>
      <c r="J134" s="81" t="str">
        <f ca="1">IF(B134="","",(C134*Thresholds_Rates!$C$12))</f>
        <v/>
      </c>
      <c r="K134" s="81"/>
      <c r="L134" s="68"/>
      <c r="M134" s="81" t="str">
        <f t="shared" ca="1" si="6"/>
        <v/>
      </c>
      <c r="N134" s="81" t="str">
        <f t="shared" ca="1" si="7"/>
        <v/>
      </c>
      <c r="O134" s="81" t="str">
        <f t="shared" ca="1" si="8"/>
        <v/>
      </c>
      <c r="P134" s="81" t="str">
        <f t="shared" ca="1" si="9"/>
        <v/>
      </c>
      <c r="Q134" s="81" t="str">
        <f t="shared" ca="1" si="10"/>
        <v/>
      </c>
      <c r="S134" s="83"/>
      <c r="T134" s="84"/>
      <c r="U134" s="83"/>
      <c r="V134" s="84"/>
    </row>
    <row r="135" spans="2:22" x14ac:dyDescent="0.25">
      <c r="B135" s="68" t="str">
        <f ca="1">IFERROR(INDEX('Points Lookup'!$A:$A,MATCH($AA137,'Points Lookup'!$AN:$AN,0)),"")</f>
        <v/>
      </c>
      <c r="C135" s="81" t="str">
        <f ca="1">IF(B135="","",IF($B$2="Apprenticeship",SUMIF('Points Lookup'!$AJ:$AJ,B135,'Points Lookup'!$AL:$AL),IF(AND(OR($B$2="New Consultant Contract"),$B135&lt;&gt;""),INDEX('Points Lookup'!$T:$T,MATCH($B135,'Points Lookup'!$S:$S,0)),IF(AND(OR($B$2="Clinical Lecturer / Medical Research Fellow",$B$2="Clinical Consultant - Old Contract (GP)"),$B135&lt;&gt;""),INDEX('Points Lookup'!$Q:$Q,MATCH($B135,'Points Lookup'!$P:$P,0)),IF(AND(OR($B$2="APM Level 7",$B$2="R&amp;T Level 7",$B$2="APM Level 8",$B$2="Technical Services Level 7"),B135&lt;&gt;""),INDEX('Points Lookup'!$H:$H,MATCH($AA135,'Points Lookup'!$AN:$AN,0)),IF($B$2="R&amp;T Level 5 - Clinical Lecturers (Vet School)",SUMIF('Points Lookup'!$V:$V,$B135,'Points Lookup'!$Y:$Y),IF($B$2="R&amp;T Level 6 - Clinical Associate Professors and Clinical Readers (Vet School)",SUMIF('Points Lookup'!$AC:$AC,$B135,'Points Lookup'!$AF:$AF),IFERROR(INDEX('Points Lookup'!$B:$B,MATCH($AA135,'Points Lookup'!$AN:$AN,0)),""))))))))</f>
        <v/>
      </c>
      <c r="D135" s="81"/>
      <c r="E135" s="81"/>
      <c r="F135" s="81" t="str">
        <f ca="1">IF($B135="","",IF(AND($B$2="Salary Points 3 to 57",B135&lt;Thresholds_Rates!$C$16),"-",IF(SUMIF(Grades!$A:$A,$B$2,Grades!$BO:$BO)=0,"-",IF(AND($B$2="Salary Points 3 to 57",B135&gt;=Thresholds_Rates!$C$16),$C135*Thresholds_Rates!$F$15,IF(AND(OR($B$2="New Consultant Contract"),$B135&lt;&gt;""),$C135*Thresholds_Rates!$F$15,IF(AND(OR($B$2="Clinical Lecturer / Medical Research Fellow",$B$2="Clinical Consultant - Old Contract (GP)"),$B135&lt;&gt;""),$C135*Thresholds_Rates!$F$15,IF(OR($B$2="APM Level 7",$B$2="R&amp;T Level 7"),$C135*Thresholds_Rates!$F$15,IF(SUMIF(Grades!$A:$A,$B$2,Grades!$BO:$BO)=1,$C135*Thresholds_Rates!$F$15,""))))))))</f>
        <v/>
      </c>
      <c r="G135" s="81" t="str">
        <f ca="1">IF(B135="","",IF($B$2="Salary Points 1 to 57","-",IF(SUMIF(Grades!$A:$A,$B$2,Grades!$BP:$BP)=0,"-",IF(AND(OR($B$2="New Consultant Contract"),$B135&lt;&gt;""),$C135*Thresholds_Rates!$F$16,IF(AND(OR($B$2="Clinical Lecturer / Medical Research Fellow",$B$2="Clinical Consultant - Old Contract (GP)"),$B135&lt;&gt;""),$C135*Thresholds_Rates!$F$16,IF(AND(OR($B$2="APM Level 7",$B$2="R&amp;T Level 7"),F135&lt;&gt;""),$C135*Thresholds_Rates!$F$16,IF(SUMIF(Grades!$A:$A,$B$2,Grades!$BP:$BP)=1,$C135*Thresholds_Rates!$F$16,"")))))))</f>
        <v/>
      </c>
      <c r="H135" s="81" t="str">
        <f ca="1">IF(B135="","",IF(SUMIF(Grades!$A:$A,$B$2,Grades!$BQ:$BQ)=0,"-",IF(AND($B$2="Salary Points 1 to 57",B135&gt;Thresholds_Rates!$C$17),"-",IF(AND($B$2="Salary Points 1 to 57",B135&lt;=Thresholds_Rates!$C$17),$C135*Thresholds_Rates!$F$17,IF(AND(OR($B$2="New Consultant Contract"),$B135&lt;&gt;""),$C135*Thresholds_Rates!$F$17,IF(AND(OR($B$2="Clinical Lecturer / Medical Research Fellow",$B$2="Clinical Consultant - Old Contract (GP)"),$B135&lt;&gt;""),$C135*Thresholds_Rates!$F$17,IF(AND(OR($B$2="APM Level 7",$B$2="R&amp;T Level 7"),G135&lt;&gt;""),$C135*Thresholds_Rates!$F$17,IF(SUMIF(Grades!$A:$A,$B$2,Grades!$BQ:$BQ)=1,$C135*Thresholds_Rates!$F$17,""))))))))</f>
        <v/>
      </c>
      <c r="I135" s="81"/>
      <c r="J135" s="81" t="str">
        <f ca="1">IF(B135="","",(C135*Thresholds_Rates!$C$12))</f>
        <v/>
      </c>
      <c r="K135" s="81"/>
      <c r="L135" s="68"/>
      <c r="M135" s="81" t="str">
        <f t="shared" ref="M135:M171" ca="1" si="12">IF(B135="","",IF(F135="-","-",$C135+$I135+F135+J135))</f>
        <v/>
      </c>
      <c r="N135" s="81" t="str">
        <f t="shared" ref="N135:N171" ca="1" si="13">IF(B135="","",IF(G135="-","-",$C135+$I135+G135+J135))</f>
        <v/>
      </c>
      <c r="O135" s="81" t="str">
        <f t="shared" ref="O135:O171" ca="1" si="14">IF(B135="","",IF(H135="-","-",$C135+$I135+H135+J135))</f>
        <v/>
      </c>
      <c r="P135" s="81" t="str">
        <f t="shared" ref="P135:P171" ca="1" si="15">IF(B135="","",IF(K135="-","-",$C135+$I135+K135+J135))</f>
        <v/>
      </c>
      <c r="Q135" s="81" t="str">
        <f t="shared" ref="Q135:Q171" ca="1" si="16">IF(B135="","",C135+I135+J135)</f>
        <v/>
      </c>
      <c r="S135" s="83"/>
      <c r="T135" s="84"/>
      <c r="U135" s="83"/>
      <c r="V135" s="84"/>
    </row>
    <row r="136" spans="2:22" x14ac:dyDescent="0.25">
      <c r="B136" s="68" t="str">
        <f ca="1">IFERROR(INDEX('Points Lookup'!$A:$A,MATCH($AA138,'Points Lookup'!$AN:$AN,0)),"")</f>
        <v/>
      </c>
      <c r="C136" s="81" t="str">
        <f ca="1">IF(B136="","",IF($B$2="Apprenticeship",SUMIF('Points Lookup'!$AJ:$AJ,B136,'Points Lookup'!$AL:$AL),IF(AND(OR($B$2="New Consultant Contract"),$B136&lt;&gt;""),INDEX('Points Lookup'!$T:$T,MATCH($B136,'Points Lookup'!$S:$S,0)),IF(AND(OR($B$2="Clinical Lecturer / Medical Research Fellow",$B$2="Clinical Consultant - Old Contract (GP)"),$B136&lt;&gt;""),INDEX('Points Lookup'!$Q:$Q,MATCH($B136,'Points Lookup'!$P:$P,0)),IF(AND(OR($B$2="APM Level 7",$B$2="R&amp;T Level 7",$B$2="APM Level 8",$B$2="Technical Services Level 7"),B136&lt;&gt;""),INDEX('Points Lookup'!$H:$H,MATCH($AA136,'Points Lookup'!$AN:$AN,0)),IF($B$2="R&amp;T Level 5 - Clinical Lecturers (Vet School)",SUMIF('Points Lookup'!$V:$V,$B136,'Points Lookup'!$Y:$Y),IF($B$2="R&amp;T Level 6 - Clinical Associate Professors and Clinical Readers (Vet School)",SUMIF('Points Lookup'!$AC:$AC,$B136,'Points Lookup'!$AF:$AF),IFERROR(INDEX('Points Lookup'!$B:$B,MATCH($AA136,'Points Lookup'!$AN:$AN,0)),""))))))))</f>
        <v/>
      </c>
      <c r="D136" s="81"/>
      <c r="E136" s="81"/>
      <c r="F136" s="81" t="str">
        <f ca="1">IF($B136="","",IF(AND($B$2="Salary Points 3 to 57",B136&lt;Thresholds_Rates!$C$16),"-",IF(SUMIF(Grades!$A:$A,$B$2,Grades!$BO:$BO)=0,"-",IF(AND($B$2="Salary Points 3 to 57",B136&gt;=Thresholds_Rates!$C$16),$C136*Thresholds_Rates!$F$15,IF(AND(OR($B$2="New Consultant Contract"),$B136&lt;&gt;""),$C136*Thresholds_Rates!$F$15,IF(AND(OR($B$2="Clinical Lecturer / Medical Research Fellow",$B$2="Clinical Consultant - Old Contract (GP)"),$B136&lt;&gt;""),$C136*Thresholds_Rates!$F$15,IF(OR($B$2="APM Level 7",$B$2="R&amp;T Level 7"),$C136*Thresholds_Rates!$F$15,IF(SUMIF(Grades!$A:$A,$B$2,Grades!$BO:$BO)=1,$C136*Thresholds_Rates!$F$15,""))))))))</f>
        <v/>
      </c>
      <c r="G136" s="81" t="str">
        <f ca="1">IF(B136="","",IF($B$2="Salary Points 1 to 57","-",IF(SUMIF(Grades!$A:$A,$B$2,Grades!$BP:$BP)=0,"-",IF(AND(OR($B$2="New Consultant Contract"),$B136&lt;&gt;""),$C136*Thresholds_Rates!$F$16,IF(AND(OR($B$2="Clinical Lecturer / Medical Research Fellow",$B$2="Clinical Consultant - Old Contract (GP)"),$B136&lt;&gt;""),$C136*Thresholds_Rates!$F$16,IF(AND(OR($B$2="APM Level 7",$B$2="R&amp;T Level 7"),F136&lt;&gt;""),$C136*Thresholds_Rates!$F$16,IF(SUMIF(Grades!$A:$A,$B$2,Grades!$BP:$BP)=1,$C136*Thresholds_Rates!$F$16,"")))))))</f>
        <v/>
      </c>
      <c r="H136" s="81" t="str">
        <f ca="1">IF(B136="","",IF(SUMIF(Grades!$A:$A,$B$2,Grades!$BQ:$BQ)=0,"-",IF(AND($B$2="Salary Points 1 to 57",B136&gt;Thresholds_Rates!$C$17),"-",IF(AND($B$2="Salary Points 1 to 57",B136&lt;=Thresholds_Rates!$C$17),$C136*Thresholds_Rates!$F$17,IF(AND(OR($B$2="New Consultant Contract"),$B136&lt;&gt;""),$C136*Thresholds_Rates!$F$17,IF(AND(OR($B$2="Clinical Lecturer / Medical Research Fellow",$B$2="Clinical Consultant - Old Contract (GP)"),$B136&lt;&gt;""),$C136*Thresholds_Rates!$F$17,IF(AND(OR($B$2="APM Level 7",$B$2="R&amp;T Level 7"),G136&lt;&gt;""),$C136*Thresholds_Rates!$F$17,IF(SUMIF(Grades!$A:$A,$B$2,Grades!$BQ:$BQ)=1,$C136*Thresholds_Rates!$F$17,""))))))))</f>
        <v/>
      </c>
      <c r="I136" s="81"/>
      <c r="J136" s="81" t="str">
        <f ca="1">IF(B136="","",(C136*Thresholds_Rates!$C$12))</f>
        <v/>
      </c>
      <c r="K136" s="81"/>
      <c r="L136" s="68"/>
      <c r="M136" s="81" t="str">
        <f t="shared" ca="1" si="12"/>
        <v/>
      </c>
      <c r="N136" s="81" t="str">
        <f t="shared" ca="1" si="13"/>
        <v/>
      </c>
      <c r="O136" s="81" t="str">
        <f t="shared" ca="1" si="14"/>
        <v/>
      </c>
      <c r="P136" s="81" t="str">
        <f t="shared" ca="1" si="15"/>
        <v/>
      </c>
      <c r="Q136" s="81" t="str">
        <f t="shared" ca="1" si="16"/>
        <v/>
      </c>
      <c r="S136" s="83"/>
      <c r="T136" s="84"/>
      <c r="U136" s="83"/>
      <c r="V136" s="84"/>
    </row>
    <row r="137" spans="2:22" x14ac:dyDescent="0.25">
      <c r="B137" s="68" t="str">
        <f ca="1">IFERROR(INDEX('Points Lookup'!$A:$A,MATCH($AA139,'Points Lookup'!$AN:$AN,0)),"")</f>
        <v/>
      </c>
      <c r="C137" s="81" t="str">
        <f ca="1">IF(B137="","",IF($B$2="Apprenticeship",SUMIF('Points Lookup'!$AJ:$AJ,B137,'Points Lookup'!$AL:$AL),IF(AND(OR($B$2="New Consultant Contract"),$B137&lt;&gt;""),INDEX('Points Lookup'!$T:$T,MATCH($B137,'Points Lookup'!$S:$S,0)),IF(AND(OR($B$2="Clinical Lecturer / Medical Research Fellow",$B$2="Clinical Consultant - Old Contract (GP)"),$B137&lt;&gt;""),INDEX('Points Lookup'!$Q:$Q,MATCH($B137,'Points Lookup'!$P:$P,0)),IF(AND(OR($B$2="APM Level 7",$B$2="R&amp;T Level 7",$B$2="APM Level 8",$B$2="Technical Services Level 7"),B137&lt;&gt;""),INDEX('Points Lookup'!$H:$H,MATCH($AA137,'Points Lookup'!$AN:$AN,0)),IF($B$2="R&amp;T Level 5 - Clinical Lecturers (Vet School)",SUMIF('Points Lookup'!$V:$V,$B137,'Points Lookup'!$Y:$Y),IF($B$2="R&amp;T Level 6 - Clinical Associate Professors and Clinical Readers (Vet School)",SUMIF('Points Lookup'!$AC:$AC,$B137,'Points Lookup'!$AF:$AF),IFERROR(INDEX('Points Lookup'!$B:$B,MATCH($AA137,'Points Lookup'!$AN:$AN,0)),""))))))))</f>
        <v/>
      </c>
      <c r="D137" s="81"/>
      <c r="E137" s="81"/>
      <c r="F137" s="81" t="str">
        <f ca="1">IF($B137="","",IF(AND($B$2="Salary Points 3 to 57",B137&lt;Thresholds_Rates!$C$16),"-",IF(SUMIF(Grades!$A:$A,$B$2,Grades!$BO:$BO)=0,"-",IF(AND($B$2="Salary Points 3 to 57",B137&gt;=Thresholds_Rates!$C$16),$C137*Thresholds_Rates!$F$15,IF(AND(OR($B$2="New Consultant Contract"),$B137&lt;&gt;""),$C137*Thresholds_Rates!$F$15,IF(AND(OR($B$2="Clinical Lecturer / Medical Research Fellow",$B$2="Clinical Consultant - Old Contract (GP)"),$B137&lt;&gt;""),$C137*Thresholds_Rates!$F$15,IF(OR($B$2="APM Level 7",$B$2="R&amp;T Level 7"),$C137*Thresholds_Rates!$F$15,IF(SUMIF(Grades!$A:$A,$B$2,Grades!$BO:$BO)=1,$C137*Thresholds_Rates!$F$15,""))))))))</f>
        <v/>
      </c>
      <c r="G137" s="81" t="str">
        <f ca="1">IF(B137="","",IF($B$2="Salary Points 1 to 57","-",IF(SUMIF(Grades!$A:$A,$B$2,Grades!$BP:$BP)=0,"-",IF(AND(OR($B$2="New Consultant Contract"),$B137&lt;&gt;""),$C137*Thresholds_Rates!$F$16,IF(AND(OR($B$2="Clinical Lecturer / Medical Research Fellow",$B$2="Clinical Consultant - Old Contract (GP)"),$B137&lt;&gt;""),$C137*Thresholds_Rates!$F$16,IF(AND(OR($B$2="APM Level 7",$B$2="R&amp;T Level 7"),F137&lt;&gt;""),$C137*Thresholds_Rates!$F$16,IF(SUMIF(Grades!$A:$A,$B$2,Grades!$BP:$BP)=1,$C137*Thresholds_Rates!$F$16,"")))))))</f>
        <v/>
      </c>
      <c r="H137" s="81" t="str">
        <f ca="1">IF(B137="","",IF(SUMIF(Grades!$A:$A,$B$2,Grades!$BQ:$BQ)=0,"-",IF(AND($B$2="Salary Points 1 to 57",B137&gt;Thresholds_Rates!$C$17),"-",IF(AND($B$2="Salary Points 1 to 57",B137&lt;=Thresholds_Rates!$C$17),$C137*Thresholds_Rates!$F$17,IF(AND(OR($B$2="New Consultant Contract"),$B137&lt;&gt;""),$C137*Thresholds_Rates!$F$17,IF(AND(OR($B$2="Clinical Lecturer / Medical Research Fellow",$B$2="Clinical Consultant - Old Contract (GP)"),$B137&lt;&gt;""),$C137*Thresholds_Rates!$F$17,IF(AND(OR($B$2="APM Level 7",$B$2="R&amp;T Level 7"),G137&lt;&gt;""),$C137*Thresholds_Rates!$F$17,IF(SUMIF(Grades!$A:$A,$B$2,Grades!$BQ:$BQ)=1,$C137*Thresholds_Rates!$F$17,""))))))))</f>
        <v/>
      </c>
      <c r="I137" s="81"/>
      <c r="J137" s="81" t="str">
        <f ca="1">IF(B137="","",(C137*Thresholds_Rates!$C$12))</f>
        <v/>
      </c>
      <c r="K137" s="81"/>
      <c r="L137" s="68"/>
      <c r="M137" s="81" t="str">
        <f t="shared" ca="1" si="12"/>
        <v/>
      </c>
      <c r="N137" s="81" t="str">
        <f t="shared" ca="1" si="13"/>
        <v/>
      </c>
      <c r="O137" s="81" t="str">
        <f t="shared" ca="1" si="14"/>
        <v/>
      </c>
      <c r="P137" s="81" t="str">
        <f t="shared" ca="1" si="15"/>
        <v/>
      </c>
      <c r="Q137" s="81" t="str">
        <f t="shared" ca="1" si="16"/>
        <v/>
      </c>
      <c r="S137" s="83"/>
      <c r="T137" s="84"/>
      <c r="U137" s="83"/>
      <c r="V137" s="84"/>
    </row>
    <row r="138" spans="2:22" x14ac:dyDescent="0.25">
      <c r="B138" s="68" t="str">
        <f ca="1">IFERROR(INDEX('Points Lookup'!$A:$A,MATCH($AA140,'Points Lookup'!$AN:$AN,0)),"")</f>
        <v/>
      </c>
      <c r="C138" s="81" t="str">
        <f ca="1">IF(B138="","",IF($B$2="Apprenticeship",SUMIF('Points Lookup'!$AJ:$AJ,B138,'Points Lookup'!$AL:$AL),IF(AND(OR($B$2="New Consultant Contract"),$B138&lt;&gt;""),INDEX('Points Lookup'!$T:$T,MATCH($B138,'Points Lookup'!$S:$S,0)),IF(AND(OR($B$2="Clinical Lecturer / Medical Research Fellow",$B$2="Clinical Consultant - Old Contract (GP)"),$B138&lt;&gt;""),INDEX('Points Lookup'!$Q:$Q,MATCH($B138,'Points Lookup'!$P:$P,0)),IF(AND(OR($B$2="APM Level 7",$B$2="R&amp;T Level 7",$B$2="APM Level 8",$B$2="Technical Services Level 7"),B138&lt;&gt;""),INDEX('Points Lookup'!$H:$H,MATCH($AA138,'Points Lookup'!$AN:$AN,0)),IF($B$2="R&amp;T Level 5 - Clinical Lecturers (Vet School)",SUMIF('Points Lookup'!$V:$V,$B138,'Points Lookup'!$Y:$Y),IF($B$2="R&amp;T Level 6 - Clinical Associate Professors and Clinical Readers (Vet School)",SUMIF('Points Lookup'!$AC:$AC,$B138,'Points Lookup'!$AF:$AF),IFERROR(INDEX('Points Lookup'!$B:$B,MATCH($AA138,'Points Lookup'!$AN:$AN,0)),""))))))))</f>
        <v/>
      </c>
      <c r="D138" s="81"/>
      <c r="E138" s="81"/>
      <c r="F138" s="81" t="str">
        <f ca="1">IF($B138="","",IF(AND($B$2="Salary Points 3 to 57",B138&lt;Thresholds_Rates!$C$16),"-",IF(SUMIF(Grades!$A:$A,$B$2,Grades!$BO:$BO)=0,"-",IF(AND($B$2="Salary Points 3 to 57",B138&gt;=Thresholds_Rates!$C$16),$C138*Thresholds_Rates!$F$15,IF(AND(OR($B$2="New Consultant Contract"),$B138&lt;&gt;""),$C138*Thresholds_Rates!$F$15,IF(AND(OR($B$2="Clinical Lecturer / Medical Research Fellow",$B$2="Clinical Consultant - Old Contract (GP)"),$B138&lt;&gt;""),$C138*Thresholds_Rates!$F$15,IF(OR($B$2="APM Level 7",$B$2="R&amp;T Level 7"),$C138*Thresholds_Rates!$F$15,IF(SUMIF(Grades!$A:$A,$B$2,Grades!$BO:$BO)=1,$C138*Thresholds_Rates!$F$15,""))))))))</f>
        <v/>
      </c>
      <c r="G138" s="81" t="str">
        <f ca="1">IF(B138="","",IF($B$2="Salary Points 1 to 57","-",IF(SUMIF(Grades!$A:$A,$B$2,Grades!$BP:$BP)=0,"-",IF(AND(OR($B$2="New Consultant Contract"),$B138&lt;&gt;""),$C138*Thresholds_Rates!$F$16,IF(AND(OR($B$2="Clinical Lecturer / Medical Research Fellow",$B$2="Clinical Consultant - Old Contract (GP)"),$B138&lt;&gt;""),$C138*Thresholds_Rates!$F$16,IF(AND(OR($B$2="APM Level 7",$B$2="R&amp;T Level 7"),F138&lt;&gt;""),$C138*Thresholds_Rates!$F$16,IF(SUMIF(Grades!$A:$A,$B$2,Grades!$BP:$BP)=1,$C138*Thresholds_Rates!$F$16,"")))))))</f>
        <v/>
      </c>
      <c r="H138" s="81" t="str">
        <f ca="1">IF(B138="","",IF(SUMIF(Grades!$A:$A,$B$2,Grades!$BQ:$BQ)=0,"-",IF(AND($B$2="Salary Points 1 to 57",B138&gt;Thresholds_Rates!$C$17),"-",IF(AND($B$2="Salary Points 1 to 57",B138&lt;=Thresholds_Rates!$C$17),$C138*Thresholds_Rates!$F$17,IF(AND(OR($B$2="New Consultant Contract"),$B138&lt;&gt;""),$C138*Thresholds_Rates!$F$17,IF(AND(OR($B$2="Clinical Lecturer / Medical Research Fellow",$B$2="Clinical Consultant - Old Contract (GP)"),$B138&lt;&gt;""),$C138*Thresholds_Rates!$F$17,IF(AND(OR($B$2="APM Level 7",$B$2="R&amp;T Level 7"),G138&lt;&gt;""),$C138*Thresholds_Rates!$F$17,IF(SUMIF(Grades!$A:$A,$B$2,Grades!$BQ:$BQ)=1,$C138*Thresholds_Rates!$F$17,""))))))))</f>
        <v/>
      </c>
      <c r="I138" s="81"/>
      <c r="J138" s="81" t="str">
        <f ca="1">IF(B138="","",(C138*Thresholds_Rates!$C$12))</f>
        <v/>
      </c>
      <c r="K138" s="81"/>
      <c r="L138" s="68"/>
      <c r="M138" s="81" t="str">
        <f t="shared" ca="1" si="12"/>
        <v/>
      </c>
      <c r="N138" s="81" t="str">
        <f t="shared" ca="1" si="13"/>
        <v/>
      </c>
      <c r="O138" s="81" t="str">
        <f t="shared" ca="1" si="14"/>
        <v/>
      </c>
      <c r="P138" s="81" t="str">
        <f t="shared" ca="1" si="15"/>
        <v/>
      </c>
      <c r="Q138" s="81" t="str">
        <f t="shared" ca="1" si="16"/>
        <v/>
      </c>
      <c r="S138" s="83"/>
      <c r="T138" s="84"/>
      <c r="U138" s="83"/>
      <c r="V138" s="84"/>
    </row>
    <row r="139" spans="2:22" x14ac:dyDescent="0.25">
      <c r="B139" s="68" t="str">
        <f ca="1">IFERROR(INDEX('Points Lookup'!$A:$A,MATCH($AA141,'Points Lookup'!$AN:$AN,0)),"")</f>
        <v/>
      </c>
      <c r="C139" s="81" t="str">
        <f ca="1">IF(B139="","",IF($B$2="Apprenticeship",SUMIF('Points Lookup'!$AJ:$AJ,B139,'Points Lookup'!$AL:$AL),IF(AND(OR($B$2="New Consultant Contract"),$B139&lt;&gt;""),INDEX('Points Lookup'!$T:$T,MATCH($B139,'Points Lookup'!$S:$S,0)),IF(AND(OR($B$2="Clinical Lecturer / Medical Research Fellow",$B$2="Clinical Consultant - Old Contract (GP)"),$B139&lt;&gt;""),INDEX('Points Lookup'!$Q:$Q,MATCH($B139,'Points Lookup'!$P:$P,0)),IF(AND(OR($B$2="APM Level 7",$B$2="R&amp;T Level 7",$B$2="APM Level 8",$B$2="Technical Services Level 7"),B139&lt;&gt;""),INDEX('Points Lookup'!$H:$H,MATCH($AA139,'Points Lookup'!$AN:$AN,0)),IF($B$2="R&amp;T Level 5 - Clinical Lecturers (Vet School)",SUMIF('Points Lookup'!$V:$V,$B139,'Points Lookup'!$Y:$Y),IF($B$2="R&amp;T Level 6 - Clinical Associate Professors and Clinical Readers (Vet School)",SUMIF('Points Lookup'!$AC:$AC,$B139,'Points Lookup'!$AF:$AF),IFERROR(INDEX('Points Lookup'!$B:$B,MATCH($AA139,'Points Lookup'!$AN:$AN,0)),""))))))))</f>
        <v/>
      </c>
      <c r="D139" s="81"/>
      <c r="E139" s="81"/>
      <c r="F139" s="81" t="str">
        <f ca="1">IF($B139="","",IF(AND($B$2="Salary Points 3 to 57",B139&lt;Thresholds_Rates!$C$16),"-",IF(SUMIF(Grades!$A:$A,$B$2,Grades!$BO:$BO)=0,"-",IF(AND($B$2="Salary Points 3 to 57",B139&gt;=Thresholds_Rates!$C$16),$C139*Thresholds_Rates!$F$15,IF(AND(OR($B$2="New Consultant Contract"),$B139&lt;&gt;""),$C139*Thresholds_Rates!$F$15,IF(AND(OR($B$2="Clinical Lecturer / Medical Research Fellow",$B$2="Clinical Consultant - Old Contract (GP)"),$B139&lt;&gt;""),$C139*Thresholds_Rates!$F$15,IF(OR($B$2="APM Level 7",$B$2="R&amp;T Level 7"),$C139*Thresholds_Rates!$F$15,IF(SUMIF(Grades!$A:$A,$B$2,Grades!$BO:$BO)=1,$C139*Thresholds_Rates!$F$15,""))))))))</f>
        <v/>
      </c>
      <c r="G139" s="81" t="str">
        <f ca="1">IF(B139="","",IF($B$2="Salary Points 1 to 57","-",IF(SUMIF(Grades!$A:$A,$B$2,Grades!$BP:$BP)=0,"-",IF(AND(OR($B$2="New Consultant Contract"),$B139&lt;&gt;""),$C139*Thresholds_Rates!$F$16,IF(AND(OR($B$2="Clinical Lecturer / Medical Research Fellow",$B$2="Clinical Consultant - Old Contract (GP)"),$B139&lt;&gt;""),$C139*Thresholds_Rates!$F$16,IF(AND(OR($B$2="APM Level 7",$B$2="R&amp;T Level 7"),F139&lt;&gt;""),$C139*Thresholds_Rates!$F$16,IF(SUMIF(Grades!$A:$A,$B$2,Grades!$BP:$BP)=1,$C139*Thresholds_Rates!$F$16,"")))))))</f>
        <v/>
      </c>
      <c r="H139" s="81" t="str">
        <f ca="1">IF(B139="","",IF(SUMIF(Grades!$A:$A,$B$2,Grades!$BQ:$BQ)=0,"-",IF(AND($B$2="Salary Points 1 to 57",B139&gt;Thresholds_Rates!$C$17),"-",IF(AND($B$2="Salary Points 1 to 57",B139&lt;=Thresholds_Rates!$C$17),$C139*Thresholds_Rates!$F$17,IF(AND(OR($B$2="New Consultant Contract"),$B139&lt;&gt;""),$C139*Thresholds_Rates!$F$17,IF(AND(OR($B$2="Clinical Lecturer / Medical Research Fellow",$B$2="Clinical Consultant - Old Contract (GP)"),$B139&lt;&gt;""),$C139*Thresholds_Rates!$F$17,IF(AND(OR($B$2="APM Level 7",$B$2="R&amp;T Level 7"),G139&lt;&gt;""),$C139*Thresholds_Rates!$F$17,IF(SUMIF(Grades!$A:$A,$B$2,Grades!$BQ:$BQ)=1,$C139*Thresholds_Rates!$F$17,""))))))))</f>
        <v/>
      </c>
      <c r="I139" s="81"/>
      <c r="J139" s="81" t="str">
        <f ca="1">IF(B139="","",(C139*Thresholds_Rates!$C$12))</f>
        <v/>
      </c>
      <c r="K139" s="81"/>
      <c r="L139" s="68"/>
      <c r="M139" s="81" t="str">
        <f t="shared" ca="1" si="12"/>
        <v/>
      </c>
      <c r="N139" s="81" t="str">
        <f t="shared" ca="1" si="13"/>
        <v/>
      </c>
      <c r="O139" s="81" t="str">
        <f t="shared" ca="1" si="14"/>
        <v/>
      </c>
      <c r="P139" s="81" t="str">
        <f t="shared" ca="1" si="15"/>
        <v/>
      </c>
      <c r="Q139" s="81" t="str">
        <f t="shared" ca="1" si="16"/>
        <v/>
      </c>
      <c r="S139" s="83"/>
      <c r="T139" s="84"/>
      <c r="U139" s="83"/>
      <c r="V139" s="84"/>
    </row>
    <row r="140" spans="2:22" x14ac:dyDescent="0.25">
      <c r="B140" s="68" t="str">
        <f ca="1">IFERROR(INDEX('Points Lookup'!$A:$A,MATCH($AA142,'Points Lookup'!$AN:$AN,0)),"")</f>
        <v/>
      </c>
      <c r="C140" s="81" t="str">
        <f ca="1">IF(B140="","",IF($B$2="Apprenticeship",SUMIF('Points Lookup'!$AJ:$AJ,B140,'Points Lookup'!$AL:$AL),IF(AND(OR($B$2="New Consultant Contract"),$B140&lt;&gt;""),INDEX('Points Lookup'!$T:$T,MATCH($B140,'Points Lookup'!$S:$S,0)),IF(AND(OR($B$2="Clinical Lecturer / Medical Research Fellow",$B$2="Clinical Consultant - Old Contract (GP)"),$B140&lt;&gt;""),INDEX('Points Lookup'!$Q:$Q,MATCH($B140,'Points Lookup'!$P:$P,0)),IF(AND(OR($B$2="APM Level 7",$B$2="R&amp;T Level 7",$B$2="APM Level 8",$B$2="Technical Services Level 7"),B140&lt;&gt;""),INDEX('Points Lookup'!$H:$H,MATCH($AA140,'Points Lookup'!$AN:$AN,0)),IF($B$2="R&amp;T Level 5 - Clinical Lecturers (Vet School)",SUMIF('Points Lookup'!$V:$V,$B140,'Points Lookup'!$Y:$Y),IF($B$2="R&amp;T Level 6 - Clinical Associate Professors and Clinical Readers (Vet School)",SUMIF('Points Lookup'!$AC:$AC,$B140,'Points Lookup'!$AF:$AF),IFERROR(INDEX('Points Lookup'!$B:$B,MATCH($AA140,'Points Lookup'!$AN:$AN,0)),""))))))))</f>
        <v/>
      </c>
      <c r="D140" s="81"/>
      <c r="E140" s="81"/>
      <c r="F140" s="81" t="str">
        <f ca="1">IF($B140="","",IF(AND($B$2="Salary Points 3 to 57",B140&lt;Thresholds_Rates!$C$16),"-",IF(SUMIF(Grades!$A:$A,$B$2,Grades!$BO:$BO)=0,"-",IF(AND($B$2="Salary Points 3 to 57",B140&gt;=Thresholds_Rates!$C$16),$C140*Thresholds_Rates!$F$15,IF(AND(OR($B$2="New Consultant Contract"),$B140&lt;&gt;""),$C140*Thresholds_Rates!$F$15,IF(AND(OR($B$2="Clinical Lecturer / Medical Research Fellow",$B$2="Clinical Consultant - Old Contract (GP)"),$B140&lt;&gt;""),$C140*Thresholds_Rates!$F$15,IF(OR($B$2="APM Level 7",$B$2="R&amp;T Level 7"),$C140*Thresholds_Rates!$F$15,IF(SUMIF(Grades!$A:$A,$B$2,Grades!$BO:$BO)=1,$C140*Thresholds_Rates!$F$15,""))))))))</f>
        <v/>
      </c>
      <c r="G140" s="81" t="str">
        <f ca="1">IF(B140="","",IF($B$2="Salary Points 1 to 57","-",IF(SUMIF(Grades!$A:$A,$B$2,Grades!$BP:$BP)=0,"-",IF(AND(OR($B$2="New Consultant Contract"),$B140&lt;&gt;""),$C140*Thresholds_Rates!$F$16,IF(AND(OR($B$2="Clinical Lecturer / Medical Research Fellow",$B$2="Clinical Consultant - Old Contract (GP)"),$B140&lt;&gt;""),$C140*Thresholds_Rates!$F$16,IF(AND(OR($B$2="APM Level 7",$B$2="R&amp;T Level 7"),F140&lt;&gt;""),$C140*Thresholds_Rates!$F$16,IF(SUMIF(Grades!$A:$A,$B$2,Grades!$BP:$BP)=1,$C140*Thresholds_Rates!$F$16,"")))))))</f>
        <v/>
      </c>
      <c r="H140" s="81" t="str">
        <f ca="1">IF(B140="","",IF(SUMIF(Grades!$A:$A,$B$2,Grades!$BQ:$BQ)=0,"-",IF(AND($B$2="Salary Points 1 to 57",B140&gt;Thresholds_Rates!$C$17),"-",IF(AND($B$2="Salary Points 1 to 57",B140&lt;=Thresholds_Rates!$C$17),$C140*Thresholds_Rates!$F$17,IF(AND(OR($B$2="New Consultant Contract"),$B140&lt;&gt;""),$C140*Thresholds_Rates!$F$17,IF(AND(OR($B$2="Clinical Lecturer / Medical Research Fellow",$B$2="Clinical Consultant - Old Contract (GP)"),$B140&lt;&gt;""),$C140*Thresholds_Rates!$F$17,IF(AND(OR($B$2="APM Level 7",$B$2="R&amp;T Level 7"),G140&lt;&gt;""),$C140*Thresholds_Rates!$F$17,IF(SUMIF(Grades!$A:$A,$B$2,Grades!$BQ:$BQ)=1,$C140*Thresholds_Rates!$F$17,""))))))))</f>
        <v/>
      </c>
      <c r="I140" s="81"/>
      <c r="J140" s="81" t="str">
        <f ca="1">IF(B140="","",(C140*Thresholds_Rates!$C$12))</f>
        <v/>
      </c>
      <c r="K140" s="81"/>
      <c r="L140" s="68"/>
      <c r="M140" s="81" t="str">
        <f t="shared" ca="1" si="12"/>
        <v/>
      </c>
      <c r="N140" s="81" t="str">
        <f t="shared" ca="1" si="13"/>
        <v/>
      </c>
      <c r="O140" s="81" t="str">
        <f t="shared" ca="1" si="14"/>
        <v/>
      </c>
      <c r="P140" s="81" t="str">
        <f t="shared" ca="1" si="15"/>
        <v/>
      </c>
      <c r="Q140" s="81" t="str">
        <f t="shared" ca="1" si="16"/>
        <v/>
      </c>
      <c r="S140" s="83"/>
      <c r="T140" s="84"/>
      <c r="U140" s="83"/>
      <c r="V140" s="84"/>
    </row>
    <row r="141" spans="2:22" x14ac:dyDescent="0.25">
      <c r="B141" s="68" t="str">
        <f ca="1">IFERROR(INDEX('Points Lookup'!$A:$A,MATCH($AA143,'Points Lookup'!$AN:$AN,0)),"")</f>
        <v/>
      </c>
      <c r="C141" s="81" t="str">
        <f ca="1">IF(B141="","",IF($B$2="Apprenticeship",SUMIF('Points Lookup'!$AJ:$AJ,B141,'Points Lookup'!$AL:$AL),IF(AND(OR($B$2="New Consultant Contract"),$B141&lt;&gt;""),INDEX('Points Lookup'!$T:$T,MATCH($B141,'Points Lookup'!$S:$S,0)),IF(AND(OR($B$2="Clinical Lecturer / Medical Research Fellow",$B$2="Clinical Consultant - Old Contract (GP)"),$B141&lt;&gt;""),INDEX('Points Lookup'!$Q:$Q,MATCH($B141,'Points Lookup'!$P:$P,0)),IF(AND(OR($B$2="APM Level 7",$B$2="R&amp;T Level 7",$B$2="APM Level 8",$B$2="Technical Services Level 7"),B141&lt;&gt;""),INDEX('Points Lookup'!$H:$H,MATCH($AA141,'Points Lookup'!$AN:$AN,0)),IF($B$2="R&amp;T Level 5 - Clinical Lecturers (Vet School)",SUMIF('Points Lookup'!$V:$V,$B141,'Points Lookup'!$Y:$Y),IF($B$2="R&amp;T Level 6 - Clinical Associate Professors and Clinical Readers (Vet School)",SUMIF('Points Lookup'!$AC:$AC,$B141,'Points Lookup'!$AF:$AF),IFERROR(INDEX('Points Lookup'!$B:$B,MATCH($AA141,'Points Lookup'!$AN:$AN,0)),""))))))))</f>
        <v/>
      </c>
      <c r="D141" s="81"/>
      <c r="E141" s="81"/>
      <c r="F141" s="81" t="str">
        <f ca="1">IF($B141="","",IF(AND($B$2="Salary Points 3 to 57",B141&lt;Thresholds_Rates!$C$16),"-",IF(SUMIF(Grades!$A:$A,$B$2,Grades!$BO:$BO)=0,"-",IF(AND($B$2="Salary Points 3 to 57",B141&gt;=Thresholds_Rates!$C$16),$C141*Thresholds_Rates!$F$15,IF(AND(OR($B$2="New Consultant Contract"),$B141&lt;&gt;""),$C141*Thresholds_Rates!$F$15,IF(AND(OR($B$2="Clinical Lecturer / Medical Research Fellow",$B$2="Clinical Consultant - Old Contract (GP)"),$B141&lt;&gt;""),$C141*Thresholds_Rates!$F$15,IF(OR($B$2="APM Level 7",$B$2="R&amp;T Level 7"),$C141*Thresholds_Rates!$F$15,IF(SUMIF(Grades!$A:$A,$B$2,Grades!$BO:$BO)=1,$C141*Thresholds_Rates!$F$15,""))))))))</f>
        <v/>
      </c>
      <c r="G141" s="81" t="str">
        <f ca="1">IF(B141="","",IF($B$2="Salary Points 1 to 57","-",IF(SUMIF(Grades!$A:$A,$B$2,Grades!$BP:$BP)=0,"-",IF(AND(OR($B$2="New Consultant Contract"),$B141&lt;&gt;""),$C141*Thresholds_Rates!$F$16,IF(AND(OR($B$2="Clinical Lecturer / Medical Research Fellow",$B$2="Clinical Consultant - Old Contract (GP)"),$B141&lt;&gt;""),$C141*Thresholds_Rates!$F$16,IF(AND(OR($B$2="APM Level 7",$B$2="R&amp;T Level 7"),F141&lt;&gt;""),$C141*Thresholds_Rates!$F$16,IF(SUMIF(Grades!$A:$A,$B$2,Grades!$BP:$BP)=1,$C141*Thresholds_Rates!$F$16,"")))))))</f>
        <v/>
      </c>
      <c r="H141" s="81" t="str">
        <f ca="1">IF(B141="","",IF(SUMIF(Grades!$A:$A,$B$2,Grades!$BQ:$BQ)=0,"-",IF(AND($B$2="Salary Points 1 to 57",B141&gt;Thresholds_Rates!$C$17),"-",IF(AND($B$2="Salary Points 1 to 57",B141&lt;=Thresholds_Rates!$C$17),$C141*Thresholds_Rates!$F$17,IF(AND(OR($B$2="New Consultant Contract"),$B141&lt;&gt;""),$C141*Thresholds_Rates!$F$17,IF(AND(OR($B$2="Clinical Lecturer / Medical Research Fellow",$B$2="Clinical Consultant - Old Contract (GP)"),$B141&lt;&gt;""),$C141*Thresholds_Rates!$F$17,IF(AND(OR($B$2="APM Level 7",$B$2="R&amp;T Level 7"),G141&lt;&gt;""),$C141*Thresholds_Rates!$F$17,IF(SUMIF(Grades!$A:$A,$B$2,Grades!$BQ:$BQ)=1,$C141*Thresholds_Rates!$F$17,""))))))))</f>
        <v/>
      </c>
      <c r="I141" s="81"/>
      <c r="J141" s="81" t="str">
        <f ca="1">IF(B141="","",(C141*Thresholds_Rates!$C$12))</f>
        <v/>
      </c>
      <c r="K141" s="81"/>
      <c r="L141" s="68"/>
      <c r="M141" s="81" t="str">
        <f t="shared" ca="1" si="12"/>
        <v/>
      </c>
      <c r="N141" s="81" t="str">
        <f t="shared" ca="1" si="13"/>
        <v/>
      </c>
      <c r="O141" s="81" t="str">
        <f t="shared" ca="1" si="14"/>
        <v/>
      </c>
      <c r="P141" s="81" t="str">
        <f t="shared" ca="1" si="15"/>
        <v/>
      </c>
      <c r="Q141" s="81" t="str">
        <f t="shared" ca="1" si="16"/>
        <v/>
      </c>
      <c r="S141" s="83"/>
      <c r="T141" s="84"/>
      <c r="U141" s="83"/>
      <c r="V141" s="84"/>
    </row>
    <row r="142" spans="2:22" x14ac:dyDescent="0.25">
      <c r="B142" s="68" t="str">
        <f ca="1">IFERROR(INDEX('Points Lookup'!$A:$A,MATCH($AA144,'Points Lookup'!$AN:$AN,0)),"")</f>
        <v/>
      </c>
      <c r="C142" s="81" t="str">
        <f ca="1">IF(B142="","",IF($B$2="Apprenticeship",SUMIF('Points Lookup'!$AJ:$AJ,B142,'Points Lookup'!$AL:$AL),IF(AND(OR($B$2="New Consultant Contract"),$B142&lt;&gt;""),INDEX('Points Lookup'!$T:$T,MATCH($B142,'Points Lookup'!$S:$S,0)),IF(AND(OR($B$2="Clinical Lecturer / Medical Research Fellow",$B$2="Clinical Consultant - Old Contract (GP)"),$B142&lt;&gt;""),INDEX('Points Lookup'!$Q:$Q,MATCH($B142,'Points Lookup'!$P:$P,0)),IF(AND(OR($B$2="APM Level 7",$B$2="R&amp;T Level 7",$B$2="APM Level 8",$B$2="Technical Services Level 7"),B142&lt;&gt;""),INDEX('Points Lookup'!$H:$H,MATCH($AA142,'Points Lookup'!$AN:$AN,0)),IF($B$2="R&amp;T Level 5 - Clinical Lecturers (Vet School)",SUMIF('Points Lookup'!$V:$V,$B142,'Points Lookup'!$Y:$Y),IF($B$2="R&amp;T Level 6 - Clinical Associate Professors and Clinical Readers (Vet School)",SUMIF('Points Lookup'!$AC:$AC,$B142,'Points Lookup'!$AF:$AF),IFERROR(INDEX('Points Lookup'!$B:$B,MATCH($AA142,'Points Lookup'!$AN:$AN,0)),""))))))))</f>
        <v/>
      </c>
      <c r="D142" s="81"/>
      <c r="E142" s="81"/>
      <c r="F142" s="81" t="str">
        <f ca="1">IF($B142="","",IF(AND($B$2="Salary Points 3 to 57",B142&lt;Thresholds_Rates!$C$16),"-",IF(SUMIF(Grades!$A:$A,$B$2,Grades!$BO:$BO)=0,"-",IF(AND($B$2="Salary Points 3 to 57",B142&gt;=Thresholds_Rates!$C$16),$C142*Thresholds_Rates!$F$15,IF(AND(OR($B$2="New Consultant Contract"),$B142&lt;&gt;""),$C142*Thresholds_Rates!$F$15,IF(AND(OR($B$2="Clinical Lecturer / Medical Research Fellow",$B$2="Clinical Consultant - Old Contract (GP)"),$B142&lt;&gt;""),$C142*Thresholds_Rates!$F$15,IF(OR($B$2="APM Level 7",$B$2="R&amp;T Level 7"),$C142*Thresholds_Rates!$F$15,IF(SUMIF(Grades!$A:$A,$B$2,Grades!$BO:$BO)=1,$C142*Thresholds_Rates!$F$15,""))))))))</f>
        <v/>
      </c>
      <c r="G142" s="81" t="str">
        <f ca="1">IF(B142="","",IF($B$2="Salary Points 1 to 57","-",IF(SUMIF(Grades!$A:$A,$B$2,Grades!$BP:$BP)=0,"-",IF(AND(OR($B$2="New Consultant Contract"),$B142&lt;&gt;""),$C142*Thresholds_Rates!$F$16,IF(AND(OR($B$2="Clinical Lecturer / Medical Research Fellow",$B$2="Clinical Consultant - Old Contract (GP)"),$B142&lt;&gt;""),$C142*Thresholds_Rates!$F$16,IF(AND(OR($B$2="APM Level 7",$B$2="R&amp;T Level 7"),F142&lt;&gt;""),$C142*Thresholds_Rates!$F$16,IF(SUMIF(Grades!$A:$A,$B$2,Grades!$BP:$BP)=1,$C142*Thresholds_Rates!$F$16,"")))))))</f>
        <v/>
      </c>
      <c r="H142" s="81" t="str">
        <f ca="1">IF(B142="","",IF(SUMIF(Grades!$A:$A,$B$2,Grades!$BQ:$BQ)=0,"-",IF(AND($B$2="Salary Points 1 to 57",B142&gt;Thresholds_Rates!$C$17),"-",IF(AND($B$2="Salary Points 1 to 57",B142&lt;=Thresholds_Rates!$C$17),$C142*Thresholds_Rates!$F$17,IF(AND(OR($B$2="New Consultant Contract"),$B142&lt;&gt;""),$C142*Thresholds_Rates!$F$17,IF(AND(OR($B$2="Clinical Lecturer / Medical Research Fellow",$B$2="Clinical Consultant - Old Contract (GP)"),$B142&lt;&gt;""),$C142*Thresholds_Rates!$F$17,IF(AND(OR($B$2="APM Level 7",$B$2="R&amp;T Level 7"),G142&lt;&gt;""),$C142*Thresholds_Rates!$F$17,IF(SUMIF(Grades!$A:$A,$B$2,Grades!$BQ:$BQ)=1,$C142*Thresholds_Rates!$F$17,""))))))))</f>
        <v/>
      </c>
      <c r="I142" s="81"/>
      <c r="J142" s="81" t="str">
        <f ca="1">IF(B142="","",(C142*Thresholds_Rates!$C$12))</f>
        <v/>
      </c>
      <c r="K142" s="81"/>
      <c r="L142" s="68"/>
      <c r="M142" s="81" t="str">
        <f t="shared" ca="1" si="12"/>
        <v/>
      </c>
      <c r="N142" s="81" t="str">
        <f t="shared" ca="1" si="13"/>
        <v/>
      </c>
      <c r="O142" s="81" t="str">
        <f t="shared" ca="1" si="14"/>
        <v/>
      </c>
      <c r="P142" s="81" t="str">
        <f t="shared" ca="1" si="15"/>
        <v/>
      </c>
      <c r="Q142" s="81" t="str">
        <f t="shared" ca="1" si="16"/>
        <v/>
      </c>
      <c r="S142" s="83"/>
      <c r="T142" s="84"/>
      <c r="U142" s="83"/>
      <c r="V142" s="84"/>
    </row>
    <row r="143" spans="2:22" x14ac:dyDescent="0.25">
      <c r="B143" s="68" t="str">
        <f ca="1">IFERROR(INDEX('Points Lookup'!$A:$A,MATCH($AA145,'Points Lookup'!$AN:$AN,0)),"")</f>
        <v/>
      </c>
      <c r="C143" s="81" t="str">
        <f ca="1">IF(B143="","",IF($B$2="Apprenticeship",SUMIF('Points Lookup'!$AJ:$AJ,B143,'Points Lookup'!$AL:$AL),IF(AND(OR($B$2="New Consultant Contract"),$B143&lt;&gt;""),INDEX('Points Lookup'!$T:$T,MATCH($B143,'Points Lookup'!$S:$S,0)),IF(AND(OR($B$2="Clinical Lecturer / Medical Research Fellow",$B$2="Clinical Consultant - Old Contract (GP)"),$B143&lt;&gt;""),INDEX('Points Lookup'!$Q:$Q,MATCH($B143,'Points Lookup'!$P:$P,0)),IF(AND(OR($B$2="APM Level 7",$B$2="R&amp;T Level 7",$B$2="APM Level 8",$B$2="Technical Services Level 7"),B143&lt;&gt;""),INDEX('Points Lookup'!$H:$H,MATCH($AA143,'Points Lookup'!$AN:$AN,0)),IF($B$2="R&amp;T Level 5 - Clinical Lecturers (Vet School)",SUMIF('Points Lookup'!$V:$V,$B143,'Points Lookup'!$Y:$Y),IF($B$2="R&amp;T Level 6 - Clinical Associate Professors and Clinical Readers (Vet School)",SUMIF('Points Lookup'!$AC:$AC,$B143,'Points Lookup'!$AF:$AF),IFERROR(INDEX('Points Lookup'!$B:$B,MATCH($AA143,'Points Lookup'!$AN:$AN,0)),""))))))))</f>
        <v/>
      </c>
      <c r="D143" s="81"/>
      <c r="E143" s="81"/>
      <c r="F143" s="81" t="str">
        <f ca="1">IF($B143="","",IF(AND($B$2="Salary Points 3 to 57",B143&lt;Thresholds_Rates!$C$16),"-",IF(SUMIF(Grades!$A:$A,$B$2,Grades!$BO:$BO)=0,"-",IF(AND($B$2="Salary Points 3 to 57",B143&gt;=Thresholds_Rates!$C$16),$C143*Thresholds_Rates!$F$15,IF(AND(OR($B$2="New Consultant Contract"),$B143&lt;&gt;""),$C143*Thresholds_Rates!$F$15,IF(AND(OR($B$2="Clinical Lecturer / Medical Research Fellow",$B$2="Clinical Consultant - Old Contract (GP)"),$B143&lt;&gt;""),$C143*Thresholds_Rates!$F$15,IF(OR($B$2="APM Level 7",$B$2="R&amp;T Level 7"),$C143*Thresholds_Rates!$F$15,IF(SUMIF(Grades!$A:$A,$B$2,Grades!$BO:$BO)=1,$C143*Thresholds_Rates!$F$15,""))))))))</f>
        <v/>
      </c>
      <c r="G143" s="81" t="str">
        <f ca="1">IF(B143="","",IF($B$2="Salary Points 1 to 57","-",IF(SUMIF(Grades!$A:$A,$B$2,Grades!$BP:$BP)=0,"-",IF(AND(OR($B$2="New Consultant Contract"),$B143&lt;&gt;""),$C143*Thresholds_Rates!$F$16,IF(AND(OR($B$2="Clinical Lecturer / Medical Research Fellow",$B$2="Clinical Consultant - Old Contract (GP)"),$B143&lt;&gt;""),$C143*Thresholds_Rates!$F$16,IF(AND(OR($B$2="APM Level 7",$B$2="R&amp;T Level 7"),F143&lt;&gt;""),$C143*Thresholds_Rates!$F$16,IF(SUMIF(Grades!$A:$A,$B$2,Grades!$BP:$BP)=1,$C143*Thresholds_Rates!$F$16,"")))))))</f>
        <v/>
      </c>
      <c r="H143" s="81" t="str">
        <f ca="1">IF(B143="","",IF(SUMIF(Grades!$A:$A,$B$2,Grades!$BQ:$BQ)=0,"-",IF(AND($B$2="Salary Points 1 to 57",B143&gt;Thresholds_Rates!$C$17),"-",IF(AND($B$2="Salary Points 1 to 57",B143&lt;=Thresholds_Rates!$C$17),$C143*Thresholds_Rates!$F$17,IF(AND(OR($B$2="New Consultant Contract"),$B143&lt;&gt;""),$C143*Thresholds_Rates!$F$17,IF(AND(OR($B$2="Clinical Lecturer / Medical Research Fellow",$B$2="Clinical Consultant - Old Contract (GP)"),$B143&lt;&gt;""),$C143*Thresholds_Rates!$F$17,IF(AND(OR($B$2="APM Level 7",$B$2="R&amp;T Level 7"),G143&lt;&gt;""),$C143*Thresholds_Rates!$F$17,IF(SUMIF(Grades!$A:$A,$B$2,Grades!$BQ:$BQ)=1,$C143*Thresholds_Rates!$F$17,""))))))))</f>
        <v/>
      </c>
      <c r="I143" s="81"/>
      <c r="J143" s="81" t="str">
        <f ca="1">IF(B143="","",(C143*Thresholds_Rates!$C$12))</f>
        <v/>
      </c>
      <c r="K143" s="81"/>
      <c r="L143" s="68"/>
      <c r="M143" s="81" t="str">
        <f t="shared" ca="1" si="12"/>
        <v/>
      </c>
      <c r="N143" s="81" t="str">
        <f t="shared" ca="1" si="13"/>
        <v/>
      </c>
      <c r="O143" s="81" t="str">
        <f t="shared" ca="1" si="14"/>
        <v/>
      </c>
      <c r="P143" s="81" t="str">
        <f t="shared" ca="1" si="15"/>
        <v/>
      </c>
      <c r="Q143" s="81" t="str">
        <f t="shared" ca="1" si="16"/>
        <v/>
      </c>
      <c r="S143" s="83"/>
      <c r="T143" s="84"/>
      <c r="U143" s="83"/>
      <c r="V143" s="84"/>
    </row>
    <row r="144" spans="2:22" x14ac:dyDescent="0.25">
      <c r="B144" s="68" t="str">
        <f ca="1">IFERROR(INDEX('Points Lookup'!$A:$A,MATCH($AA146,'Points Lookup'!$AN:$AN,0)),"")</f>
        <v/>
      </c>
      <c r="C144" s="81" t="str">
        <f ca="1">IF(B144="","",IF($B$2="Apprenticeship",SUMIF('Points Lookup'!$AJ:$AJ,B144,'Points Lookup'!$AL:$AL),IF(AND(OR($B$2="New Consultant Contract"),$B144&lt;&gt;""),INDEX('Points Lookup'!$T:$T,MATCH($B144,'Points Lookup'!$S:$S,0)),IF(AND(OR($B$2="Clinical Lecturer / Medical Research Fellow",$B$2="Clinical Consultant - Old Contract (GP)"),$B144&lt;&gt;""),INDEX('Points Lookup'!$Q:$Q,MATCH($B144,'Points Lookup'!$P:$P,0)),IF(AND(OR($B$2="APM Level 7",$B$2="R&amp;T Level 7",$B$2="APM Level 8",$B$2="Technical Services Level 7"),B144&lt;&gt;""),INDEX('Points Lookup'!$H:$H,MATCH($AA144,'Points Lookup'!$AN:$AN,0)),IF($B$2="R&amp;T Level 5 - Clinical Lecturers (Vet School)",SUMIF('Points Lookup'!$V:$V,$B144,'Points Lookup'!$Y:$Y),IF($B$2="R&amp;T Level 6 - Clinical Associate Professors and Clinical Readers (Vet School)",SUMIF('Points Lookup'!$AC:$AC,$B144,'Points Lookup'!$AF:$AF),IFERROR(INDEX('Points Lookup'!$B:$B,MATCH($AA144,'Points Lookup'!$AN:$AN,0)),""))))))))</f>
        <v/>
      </c>
      <c r="D144" s="81"/>
      <c r="E144" s="81"/>
      <c r="F144" s="81" t="str">
        <f ca="1">IF($B144="","",IF(AND($B$2="Salary Points 3 to 57",B144&lt;Thresholds_Rates!$C$16),"-",IF(SUMIF(Grades!$A:$A,$B$2,Grades!$BO:$BO)=0,"-",IF(AND($B$2="Salary Points 3 to 57",B144&gt;=Thresholds_Rates!$C$16),$C144*Thresholds_Rates!$F$15,IF(AND(OR($B$2="New Consultant Contract"),$B144&lt;&gt;""),$C144*Thresholds_Rates!$F$15,IF(AND(OR($B$2="Clinical Lecturer / Medical Research Fellow",$B$2="Clinical Consultant - Old Contract (GP)"),$B144&lt;&gt;""),$C144*Thresholds_Rates!$F$15,IF(OR($B$2="APM Level 7",$B$2="R&amp;T Level 7"),$C144*Thresholds_Rates!$F$15,IF(SUMIF(Grades!$A:$A,$B$2,Grades!$BO:$BO)=1,$C144*Thresholds_Rates!$F$15,""))))))))</f>
        <v/>
      </c>
      <c r="G144" s="81" t="str">
        <f ca="1">IF(B144="","",IF($B$2="Salary Points 1 to 57","-",IF(SUMIF(Grades!$A:$A,$B$2,Grades!$BP:$BP)=0,"-",IF(AND(OR($B$2="New Consultant Contract"),$B144&lt;&gt;""),$C144*Thresholds_Rates!$F$16,IF(AND(OR($B$2="Clinical Lecturer / Medical Research Fellow",$B$2="Clinical Consultant - Old Contract (GP)"),$B144&lt;&gt;""),$C144*Thresholds_Rates!$F$16,IF(AND(OR($B$2="APM Level 7",$B$2="R&amp;T Level 7"),F144&lt;&gt;""),$C144*Thresholds_Rates!$F$16,IF(SUMIF(Grades!$A:$A,$B$2,Grades!$BP:$BP)=1,$C144*Thresholds_Rates!$F$16,"")))))))</f>
        <v/>
      </c>
      <c r="H144" s="81" t="str">
        <f ca="1">IF(B144="","",IF(SUMIF(Grades!$A:$A,$B$2,Grades!$BQ:$BQ)=0,"-",IF(AND($B$2="Salary Points 1 to 57",B144&gt;Thresholds_Rates!$C$17),"-",IF(AND($B$2="Salary Points 1 to 57",B144&lt;=Thresholds_Rates!$C$17),$C144*Thresholds_Rates!$F$17,IF(AND(OR($B$2="New Consultant Contract"),$B144&lt;&gt;""),$C144*Thresholds_Rates!$F$17,IF(AND(OR($B$2="Clinical Lecturer / Medical Research Fellow",$B$2="Clinical Consultant - Old Contract (GP)"),$B144&lt;&gt;""),$C144*Thresholds_Rates!$F$17,IF(AND(OR($B$2="APM Level 7",$B$2="R&amp;T Level 7"),G144&lt;&gt;""),$C144*Thresholds_Rates!$F$17,IF(SUMIF(Grades!$A:$A,$B$2,Grades!$BQ:$BQ)=1,$C144*Thresholds_Rates!$F$17,""))))))))</f>
        <v/>
      </c>
      <c r="I144" s="81"/>
      <c r="J144" s="81" t="str">
        <f ca="1">IF(B144="","",(C144*Thresholds_Rates!$C$12))</f>
        <v/>
      </c>
      <c r="K144" s="81"/>
      <c r="L144" s="68"/>
      <c r="M144" s="81" t="str">
        <f t="shared" ca="1" si="12"/>
        <v/>
      </c>
      <c r="N144" s="81" t="str">
        <f t="shared" ca="1" si="13"/>
        <v/>
      </c>
      <c r="O144" s="81" t="str">
        <f t="shared" ca="1" si="14"/>
        <v/>
      </c>
      <c r="P144" s="81" t="str">
        <f t="shared" ca="1" si="15"/>
        <v/>
      </c>
      <c r="Q144" s="81" t="str">
        <f t="shared" ca="1" si="16"/>
        <v/>
      </c>
      <c r="S144" s="83"/>
      <c r="T144" s="84"/>
      <c r="U144" s="83"/>
      <c r="V144" s="84"/>
    </row>
    <row r="145" spans="2:22" x14ac:dyDescent="0.25">
      <c r="B145" s="68" t="str">
        <f ca="1">IFERROR(INDEX('Points Lookup'!$A:$A,MATCH($AA147,'Points Lookup'!$AN:$AN,0)),"")</f>
        <v/>
      </c>
      <c r="C145" s="81" t="str">
        <f ca="1">IF(B145="","",IF($B$2="Apprenticeship",SUMIF('Points Lookup'!$AJ:$AJ,B145,'Points Lookup'!$AL:$AL),IF(AND(OR($B$2="New Consultant Contract"),$B145&lt;&gt;""),INDEX('Points Lookup'!$T:$T,MATCH($B145,'Points Lookup'!$S:$S,0)),IF(AND(OR($B$2="Clinical Lecturer / Medical Research Fellow",$B$2="Clinical Consultant - Old Contract (GP)"),$B145&lt;&gt;""),INDEX('Points Lookup'!$Q:$Q,MATCH($B145,'Points Lookup'!$P:$P,0)),IF(AND(OR($B$2="APM Level 7",$B$2="R&amp;T Level 7",$B$2="APM Level 8",$B$2="Technical Services Level 7"),B145&lt;&gt;""),INDEX('Points Lookup'!$H:$H,MATCH($AA145,'Points Lookup'!$AN:$AN,0)),IF($B$2="R&amp;T Level 5 - Clinical Lecturers (Vet School)",SUMIF('Points Lookup'!$V:$V,$B145,'Points Lookup'!$Y:$Y),IF($B$2="R&amp;T Level 6 - Clinical Associate Professors and Clinical Readers (Vet School)",SUMIF('Points Lookup'!$AC:$AC,$B145,'Points Lookup'!$AF:$AF),IFERROR(INDEX('Points Lookup'!$B:$B,MATCH($AA145,'Points Lookup'!$AN:$AN,0)),""))))))))</f>
        <v/>
      </c>
      <c r="D145" s="81"/>
      <c r="E145" s="81"/>
      <c r="F145" s="81" t="str">
        <f ca="1">IF($B145="","",IF(AND($B$2="Salary Points 3 to 57",B145&lt;Thresholds_Rates!$C$16),"-",IF(SUMIF(Grades!$A:$A,$B$2,Grades!$BO:$BO)=0,"-",IF(AND($B$2="Salary Points 3 to 57",B145&gt;=Thresholds_Rates!$C$16),$C145*Thresholds_Rates!$F$15,IF(AND(OR($B$2="New Consultant Contract"),$B145&lt;&gt;""),$C145*Thresholds_Rates!$F$15,IF(AND(OR($B$2="Clinical Lecturer / Medical Research Fellow",$B$2="Clinical Consultant - Old Contract (GP)"),$B145&lt;&gt;""),$C145*Thresholds_Rates!$F$15,IF(OR($B$2="APM Level 7",$B$2="R&amp;T Level 7"),$C145*Thresholds_Rates!$F$15,IF(SUMIF(Grades!$A:$A,$B$2,Grades!$BO:$BO)=1,$C145*Thresholds_Rates!$F$15,""))))))))</f>
        <v/>
      </c>
      <c r="G145" s="81" t="str">
        <f ca="1">IF(B145="","",IF($B$2="Salary Points 1 to 57","-",IF(SUMIF(Grades!$A:$A,$B$2,Grades!$BP:$BP)=0,"-",IF(AND(OR($B$2="New Consultant Contract"),$B145&lt;&gt;""),$C145*Thresholds_Rates!$F$16,IF(AND(OR($B$2="Clinical Lecturer / Medical Research Fellow",$B$2="Clinical Consultant - Old Contract (GP)"),$B145&lt;&gt;""),$C145*Thresholds_Rates!$F$16,IF(AND(OR($B$2="APM Level 7",$B$2="R&amp;T Level 7"),F145&lt;&gt;""),$C145*Thresholds_Rates!$F$16,IF(SUMIF(Grades!$A:$A,$B$2,Grades!$BP:$BP)=1,$C145*Thresholds_Rates!$F$16,"")))))))</f>
        <v/>
      </c>
      <c r="H145" s="81" t="str">
        <f ca="1">IF(B145="","",IF(SUMIF(Grades!$A:$A,$B$2,Grades!$BQ:$BQ)=0,"-",IF(AND($B$2="Salary Points 1 to 57",B145&gt;Thresholds_Rates!$C$17),"-",IF(AND($B$2="Salary Points 1 to 57",B145&lt;=Thresholds_Rates!$C$17),$C145*Thresholds_Rates!$F$17,IF(AND(OR($B$2="New Consultant Contract"),$B145&lt;&gt;""),$C145*Thresholds_Rates!$F$17,IF(AND(OR($B$2="Clinical Lecturer / Medical Research Fellow",$B$2="Clinical Consultant - Old Contract (GP)"),$B145&lt;&gt;""),$C145*Thresholds_Rates!$F$17,IF(AND(OR($B$2="APM Level 7",$B$2="R&amp;T Level 7"),G145&lt;&gt;""),$C145*Thresholds_Rates!$F$17,IF(SUMIF(Grades!$A:$A,$B$2,Grades!$BQ:$BQ)=1,$C145*Thresholds_Rates!$F$17,""))))))))</f>
        <v/>
      </c>
      <c r="I145" s="81"/>
      <c r="J145" s="81" t="str">
        <f ca="1">IF(B145="","",(C145*Thresholds_Rates!$C$12))</f>
        <v/>
      </c>
      <c r="K145" s="81"/>
      <c r="L145" s="68"/>
      <c r="M145" s="81" t="str">
        <f t="shared" ca="1" si="12"/>
        <v/>
      </c>
      <c r="N145" s="81" t="str">
        <f t="shared" ca="1" si="13"/>
        <v/>
      </c>
      <c r="O145" s="81" t="str">
        <f t="shared" ca="1" si="14"/>
        <v/>
      </c>
      <c r="P145" s="81" t="str">
        <f t="shared" ca="1" si="15"/>
        <v/>
      </c>
      <c r="Q145" s="81" t="str">
        <f t="shared" ca="1" si="16"/>
        <v/>
      </c>
      <c r="S145" s="83"/>
      <c r="T145" s="84"/>
      <c r="U145" s="83"/>
      <c r="V145" s="84"/>
    </row>
    <row r="146" spans="2:22" x14ac:dyDescent="0.25">
      <c r="B146" s="68" t="str">
        <f ca="1">IFERROR(INDEX('Points Lookup'!$A:$A,MATCH($AA148,'Points Lookup'!$AN:$AN,0)),"")</f>
        <v/>
      </c>
      <c r="C146" s="81" t="str">
        <f ca="1">IF(B146="","",IF($B$2="Apprenticeship",SUMIF('Points Lookup'!$AJ:$AJ,B146,'Points Lookup'!$AL:$AL),IF(AND(OR($B$2="New Consultant Contract"),$B146&lt;&gt;""),INDEX('Points Lookup'!$T:$T,MATCH($B146,'Points Lookup'!$S:$S,0)),IF(AND(OR($B$2="Clinical Lecturer / Medical Research Fellow",$B$2="Clinical Consultant - Old Contract (GP)"),$B146&lt;&gt;""),INDEX('Points Lookup'!$Q:$Q,MATCH($B146,'Points Lookup'!$P:$P,0)),IF(AND(OR($B$2="APM Level 7",$B$2="R&amp;T Level 7",$B$2="APM Level 8",$B$2="Technical Services Level 7"),B146&lt;&gt;""),INDEX('Points Lookup'!$H:$H,MATCH($AA146,'Points Lookup'!$AN:$AN,0)),IF($B$2="R&amp;T Level 5 - Clinical Lecturers (Vet School)",SUMIF('Points Lookup'!$V:$V,$B146,'Points Lookup'!$Y:$Y),IF($B$2="R&amp;T Level 6 - Clinical Associate Professors and Clinical Readers (Vet School)",SUMIF('Points Lookup'!$AC:$AC,$B146,'Points Lookup'!$AF:$AF),IFERROR(INDEX('Points Lookup'!$B:$B,MATCH($AA146,'Points Lookup'!$AN:$AN,0)),""))))))))</f>
        <v/>
      </c>
      <c r="D146" s="81"/>
      <c r="E146" s="81"/>
      <c r="F146" s="81" t="str">
        <f ca="1">IF($B146="","",IF(AND($B$2="Salary Points 3 to 57",B146&lt;Thresholds_Rates!$C$16),"-",IF(SUMIF(Grades!$A:$A,$B$2,Grades!$BO:$BO)=0,"-",IF(AND($B$2="Salary Points 3 to 57",B146&gt;=Thresholds_Rates!$C$16),$C146*Thresholds_Rates!$F$15,IF(AND(OR($B$2="New Consultant Contract"),$B146&lt;&gt;""),$C146*Thresholds_Rates!$F$15,IF(AND(OR($B$2="Clinical Lecturer / Medical Research Fellow",$B$2="Clinical Consultant - Old Contract (GP)"),$B146&lt;&gt;""),$C146*Thresholds_Rates!$F$15,IF(OR($B$2="APM Level 7",$B$2="R&amp;T Level 7"),$C146*Thresholds_Rates!$F$15,IF(SUMIF(Grades!$A:$A,$B$2,Grades!$BO:$BO)=1,$C146*Thresholds_Rates!$F$15,""))))))))</f>
        <v/>
      </c>
      <c r="G146" s="81" t="str">
        <f ca="1">IF(B146="","",IF($B$2="Salary Points 1 to 57","-",IF(SUMIF(Grades!$A:$A,$B$2,Grades!$BP:$BP)=0,"-",IF(AND(OR($B$2="New Consultant Contract"),$B146&lt;&gt;""),$C146*Thresholds_Rates!$F$16,IF(AND(OR($B$2="Clinical Lecturer / Medical Research Fellow",$B$2="Clinical Consultant - Old Contract (GP)"),$B146&lt;&gt;""),$C146*Thresholds_Rates!$F$16,IF(AND(OR($B$2="APM Level 7",$B$2="R&amp;T Level 7"),F146&lt;&gt;""),$C146*Thresholds_Rates!$F$16,IF(SUMIF(Grades!$A:$A,$B$2,Grades!$BP:$BP)=1,$C146*Thresholds_Rates!$F$16,"")))))))</f>
        <v/>
      </c>
      <c r="H146" s="81" t="str">
        <f ca="1">IF(B146="","",IF(SUMIF(Grades!$A:$A,$B$2,Grades!$BQ:$BQ)=0,"-",IF(AND($B$2="Salary Points 1 to 57",B146&gt;Thresholds_Rates!$C$17),"-",IF(AND($B$2="Salary Points 1 to 57",B146&lt;=Thresholds_Rates!$C$17),$C146*Thresholds_Rates!$F$17,IF(AND(OR($B$2="New Consultant Contract"),$B146&lt;&gt;""),$C146*Thresholds_Rates!$F$17,IF(AND(OR($B$2="Clinical Lecturer / Medical Research Fellow",$B$2="Clinical Consultant - Old Contract (GP)"),$B146&lt;&gt;""),$C146*Thresholds_Rates!$F$17,IF(AND(OR($B$2="APM Level 7",$B$2="R&amp;T Level 7"),G146&lt;&gt;""),$C146*Thresholds_Rates!$F$17,IF(SUMIF(Grades!$A:$A,$B$2,Grades!$BQ:$BQ)=1,$C146*Thresholds_Rates!$F$17,""))))))))</f>
        <v/>
      </c>
      <c r="I146" s="81"/>
      <c r="J146" s="81" t="str">
        <f ca="1">IF(B146="","",(C146*Thresholds_Rates!$C$12))</f>
        <v/>
      </c>
      <c r="K146" s="81"/>
      <c r="L146" s="68"/>
      <c r="M146" s="81" t="str">
        <f t="shared" ca="1" si="12"/>
        <v/>
      </c>
      <c r="N146" s="81" t="str">
        <f t="shared" ca="1" si="13"/>
        <v/>
      </c>
      <c r="O146" s="81" t="str">
        <f t="shared" ca="1" si="14"/>
        <v/>
      </c>
      <c r="P146" s="81" t="str">
        <f t="shared" ca="1" si="15"/>
        <v/>
      </c>
      <c r="Q146" s="81" t="str">
        <f t="shared" ca="1" si="16"/>
        <v/>
      </c>
      <c r="S146" s="83"/>
      <c r="T146" s="84"/>
      <c r="U146" s="83"/>
      <c r="V146" s="84"/>
    </row>
    <row r="147" spans="2:22" x14ac:dyDescent="0.25">
      <c r="B147" s="68" t="str">
        <f ca="1">IFERROR(INDEX('Points Lookup'!$A:$A,MATCH($AA149,'Points Lookup'!$AN:$AN,0)),"")</f>
        <v/>
      </c>
      <c r="C147" s="81" t="str">
        <f ca="1">IF(B147="","",IF($B$2="Apprenticeship",SUMIF('Points Lookup'!$AJ:$AJ,B147,'Points Lookup'!$AL:$AL),IF(AND(OR($B$2="New Consultant Contract"),$B147&lt;&gt;""),INDEX('Points Lookup'!$T:$T,MATCH($B147,'Points Lookup'!$S:$S,0)),IF(AND(OR($B$2="Clinical Lecturer / Medical Research Fellow",$B$2="Clinical Consultant - Old Contract (GP)"),$B147&lt;&gt;""),INDEX('Points Lookup'!$Q:$Q,MATCH($B147,'Points Lookup'!$P:$P,0)),IF(AND(OR($B$2="APM Level 7",$B$2="R&amp;T Level 7",$B$2="APM Level 8",$B$2="Technical Services Level 7"),B147&lt;&gt;""),INDEX('Points Lookup'!$H:$H,MATCH($AA147,'Points Lookup'!$AN:$AN,0)),IF($B$2="R&amp;T Level 5 - Clinical Lecturers (Vet School)",SUMIF('Points Lookup'!$V:$V,$B147,'Points Lookup'!$Y:$Y),IF($B$2="R&amp;T Level 6 - Clinical Associate Professors and Clinical Readers (Vet School)",SUMIF('Points Lookup'!$AC:$AC,$B147,'Points Lookup'!$AF:$AF),IFERROR(INDEX('Points Lookup'!$B:$B,MATCH($AA147,'Points Lookup'!$AN:$AN,0)),""))))))))</f>
        <v/>
      </c>
      <c r="D147" s="81"/>
      <c r="E147" s="81"/>
      <c r="F147" s="81" t="str">
        <f ca="1">IF($B147="","",IF(AND($B$2="Salary Points 3 to 57",B147&lt;Thresholds_Rates!$C$16),"-",IF(SUMIF(Grades!$A:$A,$B$2,Grades!$BO:$BO)=0,"-",IF(AND($B$2="Salary Points 3 to 57",B147&gt;=Thresholds_Rates!$C$16),$C147*Thresholds_Rates!$F$15,IF(AND(OR($B$2="New Consultant Contract"),$B147&lt;&gt;""),$C147*Thresholds_Rates!$F$15,IF(AND(OR($B$2="Clinical Lecturer / Medical Research Fellow",$B$2="Clinical Consultant - Old Contract (GP)"),$B147&lt;&gt;""),$C147*Thresholds_Rates!$F$15,IF(OR($B$2="APM Level 7",$B$2="R&amp;T Level 7"),$C147*Thresholds_Rates!$F$15,IF(SUMIF(Grades!$A:$A,$B$2,Grades!$BO:$BO)=1,$C147*Thresholds_Rates!$F$15,""))))))))</f>
        <v/>
      </c>
      <c r="G147" s="81" t="str">
        <f ca="1">IF(B147="","",IF($B$2="Salary Points 1 to 57","-",IF(SUMIF(Grades!$A:$A,$B$2,Grades!$BP:$BP)=0,"-",IF(AND(OR($B$2="New Consultant Contract"),$B147&lt;&gt;""),$C147*Thresholds_Rates!$F$16,IF(AND(OR($B$2="Clinical Lecturer / Medical Research Fellow",$B$2="Clinical Consultant - Old Contract (GP)"),$B147&lt;&gt;""),$C147*Thresholds_Rates!$F$16,IF(AND(OR($B$2="APM Level 7",$B$2="R&amp;T Level 7"),F147&lt;&gt;""),$C147*Thresholds_Rates!$F$16,IF(SUMIF(Grades!$A:$A,$B$2,Grades!$BP:$BP)=1,$C147*Thresholds_Rates!$F$16,"")))))))</f>
        <v/>
      </c>
      <c r="H147" s="81" t="str">
        <f ca="1">IF(B147="","",IF(SUMIF(Grades!$A:$A,$B$2,Grades!$BQ:$BQ)=0,"-",IF(AND($B$2="Salary Points 1 to 57",B147&gt;Thresholds_Rates!$C$17),"-",IF(AND($B$2="Salary Points 1 to 57",B147&lt;=Thresholds_Rates!$C$17),$C147*Thresholds_Rates!$F$17,IF(AND(OR($B$2="New Consultant Contract"),$B147&lt;&gt;""),$C147*Thresholds_Rates!$F$17,IF(AND(OR($B$2="Clinical Lecturer / Medical Research Fellow",$B$2="Clinical Consultant - Old Contract (GP)"),$B147&lt;&gt;""),$C147*Thresholds_Rates!$F$17,IF(AND(OR($B$2="APM Level 7",$B$2="R&amp;T Level 7"),G147&lt;&gt;""),$C147*Thresholds_Rates!$F$17,IF(SUMIF(Grades!$A:$A,$B$2,Grades!$BQ:$BQ)=1,$C147*Thresholds_Rates!$F$17,""))))))))</f>
        <v/>
      </c>
      <c r="I147" s="81"/>
      <c r="J147" s="81" t="str">
        <f ca="1">IF(B147="","",(C147*Thresholds_Rates!$C$12))</f>
        <v/>
      </c>
      <c r="K147" s="81"/>
      <c r="L147" s="68"/>
      <c r="M147" s="81" t="str">
        <f t="shared" ca="1" si="12"/>
        <v/>
      </c>
      <c r="N147" s="81" t="str">
        <f t="shared" ca="1" si="13"/>
        <v/>
      </c>
      <c r="O147" s="81" t="str">
        <f t="shared" ca="1" si="14"/>
        <v/>
      </c>
      <c r="P147" s="81" t="str">
        <f t="shared" ca="1" si="15"/>
        <v/>
      </c>
      <c r="Q147" s="81" t="str">
        <f t="shared" ca="1" si="16"/>
        <v/>
      </c>
      <c r="S147" s="83"/>
      <c r="T147" s="84"/>
      <c r="U147" s="83"/>
      <c r="V147" s="84"/>
    </row>
    <row r="148" spans="2:22" x14ac:dyDescent="0.25">
      <c r="B148" s="68" t="str">
        <f ca="1">IFERROR(INDEX('Points Lookup'!$A:$A,MATCH($AA150,'Points Lookup'!$AN:$AN,0)),"")</f>
        <v/>
      </c>
      <c r="C148" s="81" t="str">
        <f ca="1">IF(B148="","",IF($B$2="Apprenticeship",SUMIF('Points Lookup'!$AJ:$AJ,B148,'Points Lookup'!$AL:$AL),IF(AND(OR($B$2="New Consultant Contract"),$B148&lt;&gt;""),INDEX('Points Lookup'!$T:$T,MATCH($B148,'Points Lookup'!$S:$S,0)),IF(AND(OR($B$2="Clinical Lecturer / Medical Research Fellow",$B$2="Clinical Consultant - Old Contract (GP)"),$B148&lt;&gt;""),INDEX('Points Lookup'!$Q:$Q,MATCH($B148,'Points Lookup'!$P:$P,0)),IF(AND(OR($B$2="APM Level 7",$B$2="R&amp;T Level 7",$B$2="APM Level 8",$B$2="Technical Services Level 7"),B148&lt;&gt;""),INDEX('Points Lookup'!$H:$H,MATCH($AA148,'Points Lookup'!$AN:$AN,0)),IF($B$2="R&amp;T Level 5 - Clinical Lecturers (Vet School)",SUMIF('Points Lookup'!$V:$V,$B148,'Points Lookup'!$Y:$Y),IF($B$2="R&amp;T Level 6 - Clinical Associate Professors and Clinical Readers (Vet School)",SUMIF('Points Lookup'!$AC:$AC,$B148,'Points Lookup'!$AF:$AF),IFERROR(INDEX('Points Lookup'!$B:$B,MATCH($AA148,'Points Lookup'!$AN:$AN,0)),""))))))))</f>
        <v/>
      </c>
      <c r="D148" s="81"/>
      <c r="E148" s="81"/>
      <c r="F148" s="81" t="str">
        <f ca="1">IF($B148="","",IF(AND($B$2="Salary Points 3 to 57",B148&lt;Thresholds_Rates!$C$16),"-",IF(SUMIF(Grades!$A:$A,$B$2,Grades!$BO:$BO)=0,"-",IF(AND($B$2="Salary Points 3 to 57",B148&gt;=Thresholds_Rates!$C$16),$C148*Thresholds_Rates!$F$15,IF(AND(OR($B$2="New Consultant Contract"),$B148&lt;&gt;""),$C148*Thresholds_Rates!$F$15,IF(AND(OR($B$2="Clinical Lecturer / Medical Research Fellow",$B$2="Clinical Consultant - Old Contract (GP)"),$B148&lt;&gt;""),$C148*Thresholds_Rates!$F$15,IF(OR($B$2="APM Level 7",$B$2="R&amp;T Level 7"),$C148*Thresholds_Rates!$F$15,IF(SUMIF(Grades!$A:$A,$B$2,Grades!$BO:$BO)=1,$C148*Thresholds_Rates!$F$15,""))))))))</f>
        <v/>
      </c>
      <c r="G148" s="81" t="str">
        <f ca="1">IF(B148="","",IF($B$2="Salary Points 1 to 57","-",IF(SUMIF(Grades!$A:$A,$B$2,Grades!$BP:$BP)=0,"-",IF(AND(OR($B$2="New Consultant Contract"),$B148&lt;&gt;""),$C148*Thresholds_Rates!$F$16,IF(AND(OR($B$2="Clinical Lecturer / Medical Research Fellow",$B$2="Clinical Consultant - Old Contract (GP)"),$B148&lt;&gt;""),$C148*Thresholds_Rates!$F$16,IF(AND(OR($B$2="APM Level 7",$B$2="R&amp;T Level 7"),F148&lt;&gt;""),$C148*Thresholds_Rates!$F$16,IF(SUMIF(Grades!$A:$A,$B$2,Grades!$BP:$BP)=1,$C148*Thresholds_Rates!$F$16,"")))))))</f>
        <v/>
      </c>
      <c r="H148" s="81" t="str">
        <f ca="1">IF(B148="","",IF(SUMIF(Grades!$A:$A,$B$2,Grades!$BQ:$BQ)=0,"-",IF(AND($B$2="Salary Points 1 to 57",B148&gt;Thresholds_Rates!$C$17),"-",IF(AND($B$2="Salary Points 1 to 57",B148&lt;=Thresholds_Rates!$C$17),$C148*Thresholds_Rates!$F$17,IF(AND(OR($B$2="New Consultant Contract"),$B148&lt;&gt;""),$C148*Thresholds_Rates!$F$17,IF(AND(OR($B$2="Clinical Lecturer / Medical Research Fellow",$B$2="Clinical Consultant - Old Contract (GP)"),$B148&lt;&gt;""),$C148*Thresholds_Rates!$F$17,IF(AND(OR($B$2="APM Level 7",$B$2="R&amp;T Level 7"),G148&lt;&gt;""),$C148*Thresholds_Rates!$F$17,IF(SUMIF(Grades!$A:$A,$B$2,Grades!$BQ:$BQ)=1,$C148*Thresholds_Rates!$F$17,""))))))))</f>
        <v/>
      </c>
      <c r="I148" s="81"/>
      <c r="J148" s="81" t="str">
        <f ca="1">IF(B148="","",(C148*Thresholds_Rates!$C$12))</f>
        <v/>
      </c>
      <c r="K148" s="81"/>
      <c r="L148" s="68"/>
      <c r="M148" s="81" t="str">
        <f t="shared" ca="1" si="12"/>
        <v/>
      </c>
      <c r="N148" s="81" t="str">
        <f t="shared" ca="1" si="13"/>
        <v/>
      </c>
      <c r="O148" s="81" t="str">
        <f t="shared" ca="1" si="14"/>
        <v/>
      </c>
      <c r="P148" s="81" t="str">
        <f t="shared" ca="1" si="15"/>
        <v/>
      </c>
      <c r="Q148" s="81" t="str">
        <f t="shared" ca="1" si="16"/>
        <v/>
      </c>
      <c r="S148" s="83"/>
      <c r="T148" s="84"/>
      <c r="U148" s="83"/>
      <c r="V148" s="84"/>
    </row>
    <row r="149" spans="2:22" x14ac:dyDescent="0.25">
      <c r="B149" s="68" t="str">
        <f ca="1">IFERROR(INDEX('Points Lookup'!$A:$A,MATCH($AA151,'Points Lookup'!$AN:$AN,0)),"")</f>
        <v/>
      </c>
      <c r="C149" s="81" t="str">
        <f ca="1">IF(B149="","",IF($B$2="Apprenticeship",SUMIF('Points Lookup'!$AJ:$AJ,B149,'Points Lookup'!$AL:$AL),IF(AND(OR($B$2="New Consultant Contract"),$B149&lt;&gt;""),INDEX('Points Lookup'!$T:$T,MATCH($B149,'Points Lookup'!$S:$S,0)),IF(AND(OR($B$2="Clinical Lecturer / Medical Research Fellow",$B$2="Clinical Consultant - Old Contract (GP)"),$B149&lt;&gt;""),INDEX('Points Lookup'!$Q:$Q,MATCH($B149,'Points Lookup'!$P:$P,0)),IF(AND(OR($B$2="APM Level 7",$B$2="R&amp;T Level 7",$B$2="APM Level 8",$B$2="Technical Services Level 7"),B149&lt;&gt;""),INDEX('Points Lookup'!$H:$H,MATCH($AA149,'Points Lookup'!$AN:$AN,0)),IF($B$2="R&amp;T Level 5 - Clinical Lecturers (Vet School)",SUMIF('Points Lookup'!$V:$V,$B149,'Points Lookup'!$Y:$Y),IF($B$2="R&amp;T Level 6 - Clinical Associate Professors and Clinical Readers (Vet School)",SUMIF('Points Lookup'!$AC:$AC,$B149,'Points Lookup'!$AF:$AF),IFERROR(INDEX('Points Lookup'!$B:$B,MATCH($AA149,'Points Lookup'!$AN:$AN,0)),""))))))))</f>
        <v/>
      </c>
      <c r="D149" s="81"/>
      <c r="E149" s="81"/>
      <c r="F149" s="81" t="str">
        <f ca="1">IF($B149="","",IF(AND($B$2="Salary Points 3 to 57",B149&lt;Thresholds_Rates!$C$16),"-",IF(SUMIF(Grades!$A:$A,$B$2,Grades!$BO:$BO)=0,"-",IF(AND($B$2="Salary Points 3 to 57",B149&gt;=Thresholds_Rates!$C$16),$C149*Thresholds_Rates!$F$15,IF(AND(OR($B$2="New Consultant Contract"),$B149&lt;&gt;""),$C149*Thresholds_Rates!$F$15,IF(AND(OR($B$2="Clinical Lecturer / Medical Research Fellow",$B$2="Clinical Consultant - Old Contract (GP)"),$B149&lt;&gt;""),$C149*Thresholds_Rates!$F$15,IF(OR($B$2="APM Level 7",$B$2="R&amp;T Level 7"),$C149*Thresholds_Rates!$F$15,IF(SUMIF(Grades!$A:$A,$B$2,Grades!$BO:$BO)=1,$C149*Thresholds_Rates!$F$15,""))))))))</f>
        <v/>
      </c>
      <c r="G149" s="81" t="str">
        <f ca="1">IF(B149="","",IF($B$2="Salary Points 1 to 57","-",IF(SUMIF(Grades!$A:$A,$B$2,Grades!$BP:$BP)=0,"-",IF(AND(OR($B$2="New Consultant Contract"),$B149&lt;&gt;""),$C149*Thresholds_Rates!$F$16,IF(AND(OR($B$2="Clinical Lecturer / Medical Research Fellow",$B$2="Clinical Consultant - Old Contract (GP)"),$B149&lt;&gt;""),$C149*Thresholds_Rates!$F$16,IF(AND(OR($B$2="APM Level 7",$B$2="R&amp;T Level 7"),F149&lt;&gt;""),$C149*Thresholds_Rates!$F$16,IF(SUMIF(Grades!$A:$A,$B$2,Grades!$BP:$BP)=1,$C149*Thresholds_Rates!$F$16,"")))))))</f>
        <v/>
      </c>
      <c r="H149" s="81" t="str">
        <f ca="1">IF(B149="","",IF(SUMIF(Grades!$A:$A,$B$2,Grades!$BQ:$BQ)=0,"-",IF(AND($B$2="Salary Points 1 to 57",B149&gt;Thresholds_Rates!$C$17),"-",IF(AND($B$2="Salary Points 1 to 57",B149&lt;=Thresholds_Rates!$C$17),$C149*Thresholds_Rates!$F$17,IF(AND(OR($B$2="New Consultant Contract"),$B149&lt;&gt;""),$C149*Thresholds_Rates!$F$17,IF(AND(OR($B$2="Clinical Lecturer / Medical Research Fellow",$B$2="Clinical Consultant - Old Contract (GP)"),$B149&lt;&gt;""),$C149*Thresholds_Rates!$F$17,IF(AND(OR($B$2="APM Level 7",$B$2="R&amp;T Level 7"),G149&lt;&gt;""),$C149*Thresholds_Rates!$F$17,IF(SUMIF(Grades!$A:$A,$B$2,Grades!$BQ:$BQ)=1,$C149*Thresholds_Rates!$F$17,""))))))))</f>
        <v/>
      </c>
      <c r="I149" s="81"/>
      <c r="J149" s="81" t="str">
        <f ca="1">IF(B149="","",(C149*Thresholds_Rates!$C$12))</f>
        <v/>
      </c>
      <c r="K149" s="81"/>
      <c r="L149" s="68"/>
      <c r="M149" s="81" t="str">
        <f t="shared" ca="1" si="12"/>
        <v/>
      </c>
      <c r="N149" s="81" t="str">
        <f t="shared" ca="1" si="13"/>
        <v/>
      </c>
      <c r="O149" s="81" t="str">
        <f t="shared" ca="1" si="14"/>
        <v/>
      </c>
      <c r="P149" s="81" t="str">
        <f t="shared" ca="1" si="15"/>
        <v/>
      </c>
      <c r="Q149" s="81" t="str">
        <f t="shared" ca="1" si="16"/>
        <v/>
      </c>
      <c r="S149" s="83"/>
      <c r="T149" s="84"/>
      <c r="U149" s="83"/>
      <c r="V149" s="84"/>
    </row>
    <row r="150" spans="2:22" x14ac:dyDescent="0.25">
      <c r="B150" s="68" t="str">
        <f ca="1">IFERROR(INDEX('Points Lookup'!$A:$A,MATCH($AA152,'Points Lookup'!$AN:$AN,0)),"")</f>
        <v/>
      </c>
      <c r="C150" s="81" t="str">
        <f ca="1">IF(B150="","",IF($B$2="Apprenticeship",SUMIF('Points Lookup'!$AJ:$AJ,B150,'Points Lookup'!$AL:$AL),IF(AND(OR($B$2="New Consultant Contract"),$B150&lt;&gt;""),INDEX('Points Lookup'!$T:$T,MATCH($B150,'Points Lookup'!$S:$S,0)),IF(AND(OR($B$2="Clinical Lecturer / Medical Research Fellow",$B$2="Clinical Consultant - Old Contract (GP)"),$B150&lt;&gt;""),INDEX('Points Lookup'!$Q:$Q,MATCH($B150,'Points Lookup'!$P:$P,0)),IF(AND(OR($B$2="APM Level 7",$B$2="R&amp;T Level 7",$B$2="APM Level 8",$B$2="Technical Services Level 7"),B150&lt;&gt;""),INDEX('Points Lookup'!$H:$H,MATCH($AA150,'Points Lookup'!$AN:$AN,0)),IF($B$2="R&amp;T Level 5 - Clinical Lecturers (Vet School)",SUMIF('Points Lookup'!$V:$V,$B150,'Points Lookup'!$Y:$Y),IF($B$2="R&amp;T Level 6 - Clinical Associate Professors and Clinical Readers (Vet School)",SUMIF('Points Lookup'!$AC:$AC,$B150,'Points Lookup'!$AF:$AF),IFERROR(INDEX('Points Lookup'!$B:$B,MATCH($AA150,'Points Lookup'!$AN:$AN,0)),""))))))))</f>
        <v/>
      </c>
      <c r="D150" s="81"/>
      <c r="E150" s="81"/>
      <c r="F150" s="81" t="str">
        <f ca="1">IF($B150="","",IF(AND($B$2="Salary Points 3 to 57",B150&lt;Thresholds_Rates!$C$16),"-",IF(SUMIF(Grades!$A:$A,$B$2,Grades!$BO:$BO)=0,"-",IF(AND($B$2="Salary Points 3 to 57",B150&gt;=Thresholds_Rates!$C$16),$C150*Thresholds_Rates!$F$15,IF(AND(OR($B$2="New Consultant Contract"),$B150&lt;&gt;""),$C150*Thresholds_Rates!$F$15,IF(AND(OR($B$2="Clinical Lecturer / Medical Research Fellow",$B$2="Clinical Consultant - Old Contract (GP)"),$B150&lt;&gt;""),$C150*Thresholds_Rates!$F$15,IF(OR($B$2="APM Level 7",$B$2="R&amp;T Level 7"),$C150*Thresholds_Rates!$F$15,IF(SUMIF(Grades!$A:$A,$B$2,Grades!$BO:$BO)=1,$C150*Thresholds_Rates!$F$15,""))))))))</f>
        <v/>
      </c>
      <c r="G150" s="81" t="str">
        <f ca="1">IF(B150="","",IF($B$2="Salary Points 1 to 57","-",IF(SUMIF(Grades!$A:$A,$B$2,Grades!$BP:$BP)=0,"-",IF(AND(OR($B$2="New Consultant Contract"),$B150&lt;&gt;""),$C150*Thresholds_Rates!$F$16,IF(AND(OR($B$2="Clinical Lecturer / Medical Research Fellow",$B$2="Clinical Consultant - Old Contract (GP)"),$B150&lt;&gt;""),$C150*Thresholds_Rates!$F$16,IF(AND(OR($B$2="APM Level 7",$B$2="R&amp;T Level 7"),F150&lt;&gt;""),$C150*Thresholds_Rates!$F$16,IF(SUMIF(Grades!$A:$A,$B$2,Grades!$BP:$BP)=1,$C150*Thresholds_Rates!$F$16,"")))))))</f>
        <v/>
      </c>
      <c r="H150" s="81" t="str">
        <f ca="1">IF(B150="","",IF(SUMIF(Grades!$A:$A,$B$2,Grades!$BQ:$BQ)=0,"-",IF(AND($B$2="Salary Points 1 to 57",B150&gt;Thresholds_Rates!$C$17),"-",IF(AND($B$2="Salary Points 1 to 57",B150&lt;=Thresholds_Rates!$C$17),$C150*Thresholds_Rates!$F$17,IF(AND(OR($B$2="New Consultant Contract"),$B150&lt;&gt;""),$C150*Thresholds_Rates!$F$17,IF(AND(OR($B$2="Clinical Lecturer / Medical Research Fellow",$B$2="Clinical Consultant - Old Contract (GP)"),$B150&lt;&gt;""),$C150*Thresholds_Rates!$F$17,IF(AND(OR($B$2="APM Level 7",$B$2="R&amp;T Level 7"),G150&lt;&gt;""),$C150*Thresholds_Rates!$F$17,IF(SUMIF(Grades!$A:$A,$B$2,Grades!$BQ:$BQ)=1,$C150*Thresholds_Rates!$F$17,""))))))))</f>
        <v/>
      </c>
      <c r="I150" s="81"/>
      <c r="J150" s="81" t="str">
        <f ca="1">IF(B150="","",(C150*Thresholds_Rates!$C$12))</f>
        <v/>
      </c>
      <c r="K150" s="81"/>
      <c r="L150" s="68"/>
      <c r="M150" s="81" t="str">
        <f t="shared" ca="1" si="12"/>
        <v/>
      </c>
      <c r="N150" s="81" t="str">
        <f t="shared" ca="1" si="13"/>
        <v/>
      </c>
      <c r="O150" s="81" t="str">
        <f t="shared" ca="1" si="14"/>
        <v/>
      </c>
      <c r="P150" s="81" t="str">
        <f t="shared" ca="1" si="15"/>
        <v/>
      </c>
      <c r="Q150" s="81" t="str">
        <f t="shared" ca="1" si="16"/>
        <v/>
      </c>
      <c r="S150" s="83"/>
      <c r="T150" s="84"/>
      <c r="U150" s="83"/>
      <c r="V150" s="84"/>
    </row>
    <row r="151" spans="2:22" x14ac:dyDescent="0.25">
      <c r="B151" s="68" t="str">
        <f ca="1">IFERROR(INDEX('Points Lookup'!$A:$A,MATCH($AA153,'Points Lookup'!$AN:$AN,0)),"")</f>
        <v/>
      </c>
      <c r="C151" s="81" t="str">
        <f ca="1">IF(B151="","",IF($B$2="Apprenticeship",SUMIF('Points Lookup'!$AJ:$AJ,B151,'Points Lookup'!$AL:$AL),IF(AND(OR($B$2="New Consultant Contract"),$B151&lt;&gt;""),INDEX('Points Lookup'!$T:$T,MATCH($B151,'Points Lookup'!$S:$S,0)),IF(AND(OR($B$2="Clinical Lecturer / Medical Research Fellow",$B$2="Clinical Consultant - Old Contract (GP)"),$B151&lt;&gt;""),INDEX('Points Lookup'!$Q:$Q,MATCH($B151,'Points Lookup'!$P:$P,0)),IF(AND(OR($B$2="APM Level 7",$B$2="R&amp;T Level 7",$B$2="APM Level 8",$B$2="Technical Services Level 7"),B151&lt;&gt;""),INDEX('Points Lookup'!$H:$H,MATCH($AA151,'Points Lookup'!$AN:$AN,0)),IF($B$2="R&amp;T Level 5 - Clinical Lecturers (Vet School)",SUMIF('Points Lookup'!$V:$V,$B151,'Points Lookup'!$Y:$Y),IF($B$2="R&amp;T Level 6 - Clinical Associate Professors and Clinical Readers (Vet School)",SUMIF('Points Lookup'!$AC:$AC,$B151,'Points Lookup'!$AF:$AF),IFERROR(INDEX('Points Lookup'!$B:$B,MATCH($AA151,'Points Lookup'!$AN:$AN,0)),""))))))))</f>
        <v/>
      </c>
      <c r="D151" s="81"/>
      <c r="E151" s="81"/>
      <c r="F151" s="81" t="str">
        <f ca="1">IF($B151="","",IF(AND($B$2="Salary Points 3 to 57",B151&lt;Thresholds_Rates!$C$16),"-",IF(SUMIF(Grades!$A:$A,$B$2,Grades!$BO:$BO)=0,"-",IF(AND($B$2="Salary Points 3 to 57",B151&gt;=Thresholds_Rates!$C$16),$C151*Thresholds_Rates!$F$15,IF(AND(OR($B$2="New Consultant Contract"),$B151&lt;&gt;""),$C151*Thresholds_Rates!$F$15,IF(AND(OR($B$2="Clinical Lecturer / Medical Research Fellow",$B$2="Clinical Consultant - Old Contract (GP)"),$B151&lt;&gt;""),$C151*Thresholds_Rates!$F$15,IF(OR($B$2="APM Level 7",$B$2="R&amp;T Level 7"),$C151*Thresholds_Rates!$F$15,IF(SUMIF(Grades!$A:$A,$B$2,Grades!$BO:$BO)=1,$C151*Thresholds_Rates!$F$15,""))))))))</f>
        <v/>
      </c>
      <c r="G151" s="81" t="str">
        <f ca="1">IF(B151="","",IF($B$2="Salary Points 1 to 57","-",IF(SUMIF(Grades!$A:$A,$B$2,Grades!$BP:$BP)=0,"-",IF(AND(OR($B$2="New Consultant Contract"),$B151&lt;&gt;""),$C151*Thresholds_Rates!$F$16,IF(AND(OR($B$2="Clinical Lecturer / Medical Research Fellow",$B$2="Clinical Consultant - Old Contract (GP)"),$B151&lt;&gt;""),$C151*Thresholds_Rates!$F$16,IF(AND(OR($B$2="APM Level 7",$B$2="R&amp;T Level 7"),F151&lt;&gt;""),$C151*Thresholds_Rates!$F$16,IF(SUMIF(Grades!$A:$A,$B$2,Grades!$BP:$BP)=1,$C151*Thresholds_Rates!$F$16,"")))))))</f>
        <v/>
      </c>
      <c r="H151" s="81" t="str">
        <f ca="1">IF(B151="","",IF(SUMIF(Grades!$A:$A,$B$2,Grades!$BQ:$BQ)=0,"-",IF(AND($B$2="Salary Points 1 to 57",B151&gt;Thresholds_Rates!$C$17),"-",IF(AND($B$2="Salary Points 1 to 57",B151&lt;=Thresholds_Rates!$C$17),$C151*Thresholds_Rates!$F$17,IF(AND(OR($B$2="New Consultant Contract"),$B151&lt;&gt;""),$C151*Thresholds_Rates!$F$17,IF(AND(OR($B$2="Clinical Lecturer / Medical Research Fellow",$B$2="Clinical Consultant - Old Contract (GP)"),$B151&lt;&gt;""),$C151*Thresholds_Rates!$F$17,IF(AND(OR($B$2="APM Level 7",$B$2="R&amp;T Level 7"),G151&lt;&gt;""),$C151*Thresholds_Rates!$F$17,IF(SUMIF(Grades!$A:$A,$B$2,Grades!$BQ:$BQ)=1,$C151*Thresholds_Rates!$F$17,""))))))))</f>
        <v/>
      </c>
      <c r="I151" s="81"/>
      <c r="J151" s="81" t="str">
        <f ca="1">IF(B151="","",(C151*Thresholds_Rates!$C$12))</f>
        <v/>
      </c>
      <c r="K151" s="81"/>
      <c r="L151" s="68"/>
      <c r="M151" s="81" t="str">
        <f t="shared" ca="1" si="12"/>
        <v/>
      </c>
      <c r="N151" s="81" t="str">
        <f t="shared" ca="1" si="13"/>
        <v/>
      </c>
      <c r="O151" s="81" t="str">
        <f t="shared" ca="1" si="14"/>
        <v/>
      </c>
      <c r="P151" s="81" t="str">
        <f t="shared" ca="1" si="15"/>
        <v/>
      </c>
      <c r="Q151" s="81" t="str">
        <f t="shared" ca="1" si="16"/>
        <v/>
      </c>
      <c r="S151" s="83"/>
      <c r="T151" s="84"/>
      <c r="U151" s="83"/>
      <c r="V151" s="84"/>
    </row>
    <row r="152" spans="2:22" x14ac:dyDescent="0.25">
      <c r="B152" s="68" t="str">
        <f ca="1">IFERROR(INDEX('Points Lookup'!$A:$A,MATCH($AA154,'Points Lookup'!$AN:$AN,0)),"")</f>
        <v/>
      </c>
      <c r="C152" s="81" t="str">
        <f ca="1">IF(B152="","",IF($B$2="Apprenticeship",SUMIF('Points Lookup'!$AJ:$AJ,B152,'Points Lookup'!$AL:$AL),IF(AND(OR($B$2="New Consultant Contract"),$B152&lt;&gt;""),INDEX('Points Lookup'!$T:$T,MATCH($B152,'Points Lookup'!$S:$S,0)),IF(AND(OR($B$2="Clinical Lecturer / Medical Research Fellow",$B$2="Clinical Consultant - Old Contract (GP)"),$B152&lt;&gt;""),INDEX('Points Lookup'!$Q:$Q,MATCH($B152,'Points Lookup'!$P:$P,0)),IF(AND(OR($B$2="APM Level 7",$B$2="R&amp;T Level 7",$B$2="APM Level 8",$B$2="Technical Services Level 7"),B152&lt;&gt;""),INDEX('Points Lookup'!$H:$H,MATCH($AA152,'Points Lookup'!$AN:$AN,0)),IF($B$2="R&amp;T Level 5 - Clinical Lecturers (Vet School)",SUMIF('Points Lookup'!$V:$V,$B152,'Points Lookup'!$Y:$Y),IF($B$2="R&amp;T Level 6 - Clinical Associate Professors and Clinical Readers (Vet School)",SUMIF('Points Lookup'!$AC:$AC,$B152,'Points Lookup'!$AF:$AF),IFERROR(INDEX('Points Lookup'!$B:$B,MATCH($AA152,'Points Lookup'!$AN:$AN,0)),""))))))))</f>
        <v/>
      </c>
      <c r="D152" s="81"/>
      <c r="E152" s="81"/>
      <c r="F152" s="81" t="str">
        <f ca="1">IF($B152="","",IF(AND($B$2="Salary Points 3 to 57",B152&lt;Thresholds_Rates!$C$16),"-",IF(SUMIF(Grades!$A:$A,$B$2,Grades!$BO:$BO)=0,"-",IF(AND($B$2="Salary Points 3 to 57",B152&gt;=Thresholds_Rates!$C$16),$C152*Thresholds_Rates!$F$15,IF(AND(OR($B$2="New Consultant Contract"),$B152&lt;&gt;""),$C152*Thresholds_Rates!$F$15,IF(AND(OR($B$2="Clinical Lecturer / Medical Research Fellow",$B$2="Clinical Consultant - Old Contract (GP)"),$B152&lt;&gt;""),$C152*Thresholds_Rates!$F$15,IF(OR($B$2="APM Level 7",$B$2="R&amp;T Level 7"),$C152*Thresholds_Rates!$F$15,IF(SUMIF(Grades!$A:$A,$B$2,Grades!$BO:$BO)=1,$C152*Thresholds_Rates!$F$15,""))))))))</f>
        <v/>
      </c>
      <c r="G152" s="81" t="str">
        <f ca="1">IF(B152="","",IF($B$2="Salary Points 1 to 57","-",IF(SUMIF(Grades!$A:$A,$B$2,Grades!$BP:$BP)=0,"-",IF(AND(OR($B$2="New Consultant Contract"),$B152&lt;&gt;""),$C152*Thresholds_Rates!$F$16,IF(AND(OR($B$2="Clinical Lecturer / Medical Research Fellow",$B$2="Clinical Consultant - Old Contract (GP)"),$B152&lt;&gt;""),$C152*Thresholds_Rates!$F$16,IF(AND(OR($B$2="APM Level 7",$B$2="R&amp;T Level 7"),F152&lt;&gt;""),$C152*Thresholds_Rates!$F$16,IF(SUMIF(Grades!$A:$A,$B$2,Grades!$BP:$BP)=1,$C152*Thresholds_Rates!$F$16,"")))))))</f>
        <v/>
      </c>
      <c r="H152" s="81" t="str">
        <f ca="1">IF(B152="","",IF(SUMIF(Grades!$A:$A,$B$2,Grades!$BQ:$BQ)=0,"-",IF(AND($B$2="Salary Points 1 to 57",B152&gt;Thresholds_Rates!$C$17),"-",IF(AND($B$2="Salary Points 1 to 57",B152&lt;=Thresholds_Rates!$C$17),$C152*Thresholds_Rates!$F$17,IF(AND(OR($B$2="New Consultant Contract"),$B152&lt;&gt;""),$C152*Thresholds_Rates!$F$17,IF(AND(OR($B$2="Clinical Lecturer / Medical Research Fellow",$B$2="Clinical Consultant - Old Contract (GP)"),$B152&lt;&gt;""),$C152*Thresholds_Rates!$F$17,IF(AND(OR($B$2="APM Level 7",$B$2="R&amp;T Level 7"),G152&lt;&gt;""),$C152*Thresholds_Rates!$F$17,IF(SUMIF(Grades!$A:$A,$B$2,Grades!$BQ:$BQ)=1,$C152*Thresholds_Rates!$F$17,""))))))))</f>
        <v/>
      </c>
      <c r="I152" s="81"/>
      <c r="J152" s="81" t="str">
        <f ca="1">IF(B152="","",(C152*Thresholds_Rates!$C$12))</f>
        <v/>
      </c>
      <c r="K152" s="81"/>
      <c r="L152" s="68"/>
      <c r="M152" s="81" t="str">
        <f t="shared" ca="1" si="12"/>
        <v/>
      </c>
      <c r="N152" s="81" t="str">
        <f t="shared" ca="1" si="13"/>
        <v/>
      </c>
      <c r="O152" s="81" t="str">
        <f t="shared" ca="1" si="14"/>
        <v/>
      </c>
      <c r="P152" s="81" t="str">
        <f t="shared" ca="1" si="15"/>
        <v/>
      </c>
      <c r="Q152" s="81" t="str">
        <f t="shared" ca="1" si="16"/>
        <v/>
      </c>
      <c r="S152" s="83"/>
      <c r="T152" s="84"/>
      <c r="U152" s="83"/>
      <c r="V152" s="84"/>
    </row>
    <row r="153" spans="2:22" x14ac:dyDescent="0.25">
      <c r="B153" s="68" t="str">
        <f ca="1">IFERROR(INDEX('Points Lookup'!$A:$A,MATCH($AA155,'Points Lookup'!$AN:$AN,0)),"")</f>
        <v/>
      </c>
      <c r="C153" s="81" t="str">
        <f ca="1">IF(B153="","",IF($B$2="Apprenticeship",SUMIF('Points Lookup'!$AJ:$AJ,B153,'Points Lookup'!$AL:$AL),IF(AND(OR($B$2="New Consultant Contract"),$B153&lt;&gt;""),INDEX('Points Lookup'!$T:$T,MATCH($B153,'Points Lookup'!$S:$S,0)),IF(AND(OR($B$2="Clinical Lecturer / Medical Research Fellow",$B$2="Clinical Consultant - Old Contract (GP)"),$B153&lt;&gt;""),INDEX('Points Lookup'!$Q:$Q,MATCH($B153,'Points Lookup'!$P:$P,0)),IF(AND(OR($B$2="APM Level 7",$B$2="R&amp;T Level 7",$B$2="APM Level 8",$B$2="Technical Services Level 7"),B153&lt;&gt;""),INDEX('Points Lookup'!$H:$H,MATCH($AA153,'Points Lookup'!$AN:$AN,0)),IF($B$2="R&amp;T Level 5 - Clinical Lecturers (Vet School)",SUMIF('Points Lookup'!$V:$V,$B153,'Points Lookup'!$Y:$Y),IF($B$2="R&amp;T Level 6 - Clinical Associate Professors and Clinical Readers (Vet School)",SUMIF('Points Lookup'!$AC:$AC,$B153,'Points Lookup'!$AF:$AF),IFERROR(INDEX('Points Lookup'!$B:$B,MATCH($AA153,'Points Lookup'!$AN:$AN,0)),""))))))))</f>
        <v/>
      </c>
      <c r="D153" s="81"/>
      <c r="E153" s="81"/>
      <c r="F153" s="81" t="str">
        <f ca="1">IF($B153="","",IF(AND($B$2="Salary Points 3 to 57",B153&lt;Thresholds_Rates!$C$16),"-",IF(SUMIF(Grades!$A:$A,$B$2,Grades!$BO:$BO)=0,"-",IF(AND($B$2="Salary Points 3 to 57",B153&gt;=Thresholds_Rates!$C$16),$C153*Thresholds_Rates!$F$15,IF(AND(OR($B$2="New Consultant Contract"),$B153&lt;&gt;""),$C153*Thresholds_Rates!$F$15,IF(AND(OR($B$2="Clinical Lecturer / Medical Research Fellow",$B$2="Clinical Consultant - Old Contract (GP)"),$B153&lt;&gt;""),$C153*Thresholds_Rates!$F$15,IF(OR($B$2="APM Level 7",$B$2="R&amp;T Level 7"),$C153*Thresholds_Rates!$F$15,IF(SUMIF(Grades!$A:$A,$B$2,Grades!$BO:$BO)=1,$C153*Thresholds_Rates!$F$15,""))))))))</f>
        <v/>
      </c>
      <c r="G153" s="81" t="str">
        <f ca="1">IF(B153="","",IF($B$2="Salary Points 1 to 57","-",IF(SUMIF(Grades!$A:$A,$B$2,Grades!$BP:$BP)=0,"-",IF(AND(OR($B$2="New Consultant Contract"),$B153&lt;&gt;""),$C153*Thresholds_Rates!$F$16,IF(AND(OR($B$2="Clinical Lecturer / Medical Research Fellow",$B$2="Clinical Consultant - Old Contract (GP)"),$B153&lt;&gt;""),$C153*Thresholds_Rates!$F$16,IF(AND(OR($B$2="APM Level 7",$B$2="R&amp;T Level 7"),F153&lt;&gt;""),$C153*Thresholds_Rates!$F$16,IF(SUMIF(Grades!$A:$A,$B$2,Grades!$BP:$BP)=1,$C153*Thresholds_Rates!$F$16,"")))))))</f>
        <v/>
      </c>
      <c r="H153" s="81" t="str">
        <f ca="1">IF(B153="","",IF(SUMIF(Grades!$A:$A,$B$2,Grades!$BQ:$BQ)=0,"-",IF(AND($B$2="Salary Points 1 to 57",B153&gt;Thresholds_Rates!$C$17),"-",IF(AND($B$2="Salary Points 1 to 57",B153&lt;=Thresholds_Rates!$C$17),$C153*Thresholds_Rates!$F$17,IF(AND(OR($B$2="New Consultant Contract"),$B153&lt;&gt;""),$C153*Thresholds_Rates!$F$17,IF(AND(OR($B$2="Clinical Lecturer / Medical Research Fellow",$B$2="Clinical Consultant - Old Contract (GP)"),$B153&lt;&gt;""),$C153*Thresholds_Rates!$F$17,IF(AND(OR($B$2="APM Level 7",$B$2="R&amp;T Level 7"),G153&lt;&gt;""),$C153*Thresholds_Rates!$F$17,IF(SUMIF(Grades!$A:$A,$B$2,Grades!$BQ:$BQ)=1,$C153*Thresholds_Rates!$F$17,""))))))))</f>
        <v/>
      </c>
      <c r="I153" s="81"/>
      <c r="J153" s="81" t="str">
        <f ca="1">IF(B153="","",(C153*Thresholds_Rates!$C$12))</f>
        <v/>
      </c>
      <c r="K153" s="81"/>
      <c r="L153" s="68"/>
      <c r="M153" s="81" t="str">
        <f t="shared" ca="1" si="12"/>
        <v/>
      </c>
      <c r="N153" s="81" t="str">
        <f t="shared" ca="1" si="13"/>
        <v/>
      </c>
      <c r="O153" s="81" t="str">
        <f t="shared" ca="1" si="14"/>
        <v/>
      </c>
      <c r="P153" s="81" t="str">
        <f t="shared" ca="1" si="15"/>
        <v/>
      </c>
      <c r="Q153" s="81" t="str">
        <f t="shared" ca="1" si="16"/>
        <v/>
      </c>
      <c r="S153" s="83"/>
      <c r="T153" s="84"/>
      <c r="U153" s="83"/>
      <c r="V153" s="84"/>
    </row>
    <row r="154" spans="2:22" x14ac:dyDescent="0.25">
      <c r="B154" s="68" t="str">
        <f ca="1">IFERROR(INDEX('Points Lookup'!$A:$A,MATCH($AA156,'Points Lookup'!$AN:$AN,0)),"")</f>
        <v/>
      </c>
      <c r="C154" s="81" t="str">
        <f ca="1">IF(B154="","",IF($B$2="Apprenticeship",SUMIF('Points Lookup'!$AJ:$AJ,B154,'Points Lookup'!$AL:$AL),IF(AND(OR($B$2="New Consultant Contract"),$B154&lt;&gt;""),INDEX('Points Lookup'!$T:$T,MATCH($B154,'Points Lookup'!$S:$S,0)),IF(AND(OR($B$2="Clinical Lecturer / Medical Research Fellow",$B$2="Clinical Consultant - Old Contract (GP)"),$B154&lt;&gt;""),INDEX('Points Lookup'!$Q:$Q,MATCH($B154,'Points Lookup'!$P:$P,0)),IF(AND(OR($B$2="APM Level 7",$B$2="R&amp;T Level 7",$B$2="APM Level 8",$B$2="Technical Services Level 7"),B154&lt;&gt;""),INDEX('Points Lookup'!$H:$H,MATCH($AA154,'Points Lookup'!$AN:$AN,0)),IF($B$2="R&amp;T Level 5 - Clinical Lecturers (Vet School)",SUMIF('Points Lookup'!$V:$V,$B154,'Points Lookup'!$Y:$Y),IF($B$2="R&amp;T Level 6 - Clinical Associate Professors and Clinical Readers (Vet School)",SUMIF('Points Lookup'!$AC:$AC,$B154,'Points Lookup'!$AF:$AF),IFERROR(INDEX('Points Lookup'!$B:$B,MATCH($AA154,'Points Lookup'!$AN:$AN,0)),""))))))))</f>
        <v/>
      </c>
      <c r="D154" s="81"/>
      <c r="E154" s="81"/>
      <c r="F154" s="81" t="str">
        <f ca="1">IF($B154="","",IF(AND($B$2="Salary Points 3 to 57",B154&lt;Thresholds_Rates!$C$16),"-",IF(SUMIF(Grades!$A:$A,$B$2,Grades!$BO:$BO)=0,"-",IF(AND($B$2="Salary Points 3 to 57",B154&gt;=Thresholds_Rates!$C$16),$C154*Thresholds_Rates!$F$15,IF(AND(OR($B$2="New Consultant Contract"),$B154&lt;&gt;""),$C154*Thresholds_Rates!$F$15,IF(AND(OR($B$2="Clinical Lecturer / Medical Research Fellow",$B$2="Clinical Consultant - Old Contract (GP)"),$B154&lt;&gt;""),$C154*Thresholds_Rates!$F$15,IF(OR($B$2="APM Level 7",$B$2="R&amp;T Level 7"),$C154*Thresholds_Rates!$F$15,IF(SUMIF(Grades!$A:$A,$B$2,Grades!$BO:$BO)=1,$C154*Thresholds_Rates!$F$15,""))))))))</f>
        <v/>
      </c>
      <c r="G154" s="81" t="str">
        <f ca="1">IF(B154="","",IF($B$2="Salary Points 1 to 57","-",IF(SUMIF(Grades!$A:$A,$B$2,Grades!$BP:$BP)=0,"-",IF(AND(OR($B$2="New Consultant Contract"),$B154&lt;&gt;""),$C154*Thresholds_Rates!$F$16,IF(AND(OR($B$2="Clinical Lecturer / Medical Research Fellow",$B$2="Clinical Consultant - Old Contract (GP)"),$B154&lt;&gt;""),$C154*Thresholds_Rates!$F$16,IF(AND(OR($B$2="APM Level 7",$B$2="R&amp;T Level 7"),F154&lt;&gt;""),$C154*Thresholds_Rates!$F$16,IF(SUMIF(Grades!$A:$A,$B$2,Grades!$BP:$BP)=1,$C154*Thresholds_Rates!$F$16,"")))))))</f>
        <v/>
      </c>
      <c r="H154" s="81" t="str">
        <f ca="1">IF(B154="","",IF(SUMIF(Grades!$A:$A,$B$2,Grades!$BQ:$BQ)=0,"-",IF(AND($B$2="Salary Points 1 to 57",B154&gt;Thresholds_Rates!$C$17),"-",IF(AND($B$2="Salary Points 1 to 57",B154&lt;=Thresholds_Rates!$C$17),$C154*Thresholds_Rates!$F$17,IF(AND(OR($B$2="New Consultant Contract"),$B154&lt;&gt;""),$C154*Thresholds_Rates!$F$17,IF(AND(OR($B$2="Clinical Lecturer / Medical Research Fellow",$B$2="Clinical Consultant - Old Contract (GP)"),$B154&lt;&gt;""),$C154*Thresholds_Rates!$F$17,IF(AND(OR($B$2="APM Level 7",$B$2="R&amp;T Level 7"),G154&lt;&gt;""),$C154*Thresholds_Rates!$F$17,IF(SUMIF(Grades!$A:$A,$B$2,Grades!$BQ:$BQ)=1,$C154*Thresholds_Rates!$F$17,""))))))))</f>
        <v/>
      </c>
      <c r="I154" s="81"/>
      <c r="J154" s="81" t="str">
        <f ca="1">IF(B154="","",(C154*Thresholds_Rates!$C$12))</f>
        <v/>
      </c>
      <c r="K154" s="81"/>
      <c r="L154" s="68"/>
      <c r="M154" s="81" t="str">
        <f t="shared" ca="1" si="12"/>
        <v/>
      </c>
      <c r="N154" s="81" t="str">
        <f t="shared" ca="1" si="13"/>
        <v/>
      </c>
      <c r="O154" s="81" t="str">
        <f t="shared" ca="1" si="14"/>
        <v/>
      </c>
      <c r="P154" s="81" t="str">
        <f t="shared" ca="1" si="15"/>
        <v/>
      </c>
      <c r="Q154" s="81" t="str">
        <f t="shared" ca="1" si="16"/>
        <v/>
      </c>
      <c r="S154" s="83"/>
      <c r="T154" s="84"/>
      <c r="U154" s="83"/>
      <c r="V154" s="84"/>
    </row>
    <row r="155" spans="2:22" x14ac:dyDescent="0.25">
      <c r="B155" s="68" t="str">
        <f ca="1">IFERROR(INDEX('Points Lookup'!$A:$A,MATCH($AA157,'Points Lookup'!$AN:$AN,0)),"")</f>
        <v/>
      </c>
      <c r="C155" s="81" t="str">
        <f ca="1">IF(B155="","",IF($B$2="Apprenticeship",SUMIF('Points Lookup'!$AJ:$AJ,B155,'Points Lookup'!$AL:$AL),IF(AND(OR($B$2="New Consultant Contract"),$B155&lt;&gt;""),INDEX('Points Lookup'!$T:$T,MATCH($B155,'Points Lookup'!$S:$S,0)),IF(AND(OR($B$2="Clinical Lecturer / Medical Research Fellow",$B$2="Clinical Consultant - Old Contract (GP)"),$B155&lt;&gt;""),INDEX('Points Lookup'!$Q:$Q,MATCH($B155,'Points Lookup'!$P:$P,0)),IF(AND(OR($B$2="APM Level 7",$B$2="R&amp;T Level 7",$B$2="APM Level 8",$B$2="Technical Services Level 7"),B155&lt;&gt;""),INDEX('Points Lookup'!$H:$H,MATCH($AA155,'Points Lookup'!$AN:$AN,0)),IF($B$2="R&amp;T Level 5 - Clinical Lecturers (Vet School)",SUMIF('Points Lookup'!$V:$V,$B155,'Points Lookup'!$Y:$Y),IF($B$2="R&amp;T Level 6 - Clinical Associate Professors and Clinical Readers (Vet School)",SUMIF('Points Lookup'!$AC:$AC,$B155,'Points Lookup'!$AF:$AF),IFERROR(INDEX('Points Lookup'!$B:$B,MATCH($AA155,'Points Lookup'!$AN:$AN,0)),""))))))))</f>
        <v/>
      </c>
      <c r="D155" s="81"/>
      <c r="E155" s="81"/>
      <c r="F155" s="81" t="str">
        <f ca="1">IF($B155="","",IF(AND($B$2="Salary Points 3 to 57",B155&lt;Thresholds_Rates!$C$16),"-",IF(SUMIF(Grades!$A:$A,$B$2,Grades!$BO:$BO)=0,"-",IF(AND($B$2="Salary Points 3 to 57",B155&gt;=Thresholds_Rates!$C$16),$C155*Thresholds_Rates!$F$15,IF(AND(OR($B$2="New Consultant Contract"),$B155&lt;&gt;""),$C155*Thresholds_Rates!$F$15,IF(AND(OR($B$2="Clinical Lecturer / Medical Research Fellow",$B$2="Clinical Consultant - Old Contract (GP)"),$B155&lt;&gt;""),$C155*Thresholds_Rates!$F$15,IF(OR($B$2="APM Level 7",$B$2="R&amp;T Level 7"),$C155*Thresholds_Rates!$F$15,IF(SUMIF(Grades!$A:$A,$B$2,Grades!$BO:$BO)=1,$C155*Thresholds_Rates!$F$15,""))))))))</f>
        <v/>
      </c>
      <c r="G155" s="81" t="str">
        <f ca="1">IF(B155="","",IF($B$2="Salary Points 1 to 57","-",IF(SUMIF(Grades!$A:$A,$B$2,Grades!$BP:$BP)=0,"-",IF(AND(OR($B$2="New Consultant Contract"),$B155&lt;&gt;""),$C155*Thresholds_Rates!$F$16,IF(AND(OR($B$2="Clinical Lecturer / Medical Research Fellow",$B$2="Clinical Consultant - Old Contract (GP)"),$B155&lt;&gt;""),$C155*Thresholds_Rates!$F$16,IF(AND(OR($B$2="APM Level 7",$B$2="R&amp;T Level 7"),F155&lt;&gt;""),$C155*Thresholds_Rates!$F$16,IF(SUMIF(Grades!$A:$A,$B$2,Grades!$BP:$BP)=1,$C155*Thresholds_Rates!$F$16,"")))))))</f>
        <v/>
      </c>
      <c r="H155" s="81" t="str">
        <f ca="1">IF(B155="","",IF(SUMIF(Grades!$A:$A,$B$2,Grades!$BQ:$BQ)=0,"-",IF(AND($B$2="Salary Points 1 to 57",B155&gt;Thresholds_Rates!$C$17),"-",IF(AND($B$2="Salary Points 1 to 57",B155&lt;=Thresholds_Rates!$C$17),$C155*Thresholds_Rates!$F$17,IF(AND(OR($B$2="New Consultant Contract"),$B155&lt;&gt;""),$C155*Thresholds_Rates!$F$17,IF(AND(OR($B$2="Clinical Lecturer / Medical Research Fellow",$B$2="Clinical Consultant - Old Contract (GP)"),$B155&lt;&gt;""),$C155*Thresholds_Rates!$F$17,IF(AND(OR($B$2="APM Level 7",$B$2="R&amp;T Level 7"),G155&lt;&gt;""),$C155*Thresholds_Rates!$F$17,IF(SUMIF(Grades!$A:$A,$B$2,Grades!$BQ:$BQ)=1,$C155*Thresholds_Rates!$F$17,""))))))))</f>
        <v/>
      </c>
      <c r="I155" s="81"/>
      <c r="J155" s="81" t="str">
        <f ca="1">IF(B155="","",(C155*Thresholds_Rates!$C$12))</f>
        <v/>
      </c>
      <c r="K155" s="81"/>
      <c r="L155" s="68"/>
      <c r="M155" s="81" t="str">
        <f t="shared" ca="1" si="12"/>
        <v/>
      </c>
      <c r="N155" s="81" t="str">
        <f t="shared" ca="1" si="13"/>
        <v/>
      </c>
      <c r="O155" s="81" t="str">
        <f t="shared" ca="1" si="14"/>
        <v/>
      </c>
      <c r="P155" s="81" t="str">
        <f t="shared" ca="1" si="15"/>
        <v/>
      </c>
      <c r="Q155" s="81" t="str">
        <f t="shared" ca="1" si="16"/>
        <v/>
      </c>
      <c r="S155" s="83"/>
      <c r="T155" s="84"/>
      <c r="U155" s="83"/>
      <c r="V155" s="84"/>
    </row>
    <row r="156" spans="2:22" x14ac:dyDescent="0.25">
      <c r="B156" s="68" t="str">
        <f ca="1">IFERROR(INDEX('Points Lookup'!$A:$A,MATCH($AA158,'Points Lookup'!$AN:$AN,0)),"")</f>
        <v/>
      </c>
      <c r="C156" s="81" t="str">
        <f ca="1">IF(B156="","",IF($B$2="Apprenticeship",SUMIF('Points Lookup'!$AJ:$AJ,B156,'Points Lookup'!$AL:$AL),IF(AND(OR($B$2="New Consultant Contract"),$B156&lt;&gt;""),INDEX('Points Lookup'!$T:$T,MATCH($B156,'Points Lookup'!$S:$S,0)),IF(AND(OR($B$2="Clinical Lecturer / Medical Research Fellow",$B$2="Clinical Consultant - Old Contract (GP)"),$B156&lt;&gt;""),INDEX('Points Lookup'!$Q:$Q,MATCH($B156,'Points Lookup'!$P:$P,0)),IF(AND(OR($B$2="APM Level 7",$B$2="R&amp;T Level 7",$B$2="APM Level 8",$B$2="Technical Services Level 7"),B156&lt;&gt;""),INDEX('Points Lookup'!$H:$H,MATCH($AA156,'Points Lookup'!$AN:$AN,0)),IF($B$2="R&amp;T Level 5 - Clinical Lecturers (Vet School)",SUMIF('Points Lookup'!$V:$V,$B156,'Points Lookup'!$Y:$Y),IF($B$2="R&amp;T Level 6 - Clinical Associate Professors and Clinical Readers (Vet School)",SUMIF('Points Lookup'!$AC:$AC,$B156,'Points Lookup'!$AF:$AF),IFERROR(INDEX('Points Lookup'!$B:$B,MATCH($AA156,'Points Lookup'!$AN:$AN,0)),""))))))))</f>
        <v/>
      </c>
      <c r="D156" s="81"/>
      <c r="E156" s="81"/>
      <c r="F156" s="81" t="str">
        <f ca="1">IF($B156="","",IF(AND($B$2="Salary Points 3 to 57",B156&lt;Thresholds_Rates!$C$16),"-",IF(SUMIF(Grades!$A:$A,$B$2,Grades!$BO:$BO)=0,"-",IF(AND($B$2="Salary Points 3 to 57",B156&gt;=Thresholds_Rates!$C$16),$C156*Thresholds_Rates!$F$15,IF(AND(OR($B$2="New Consultant Contract"),$B156&lt;&gt;""),$C156*Thresholds_Rates!$F$15,IF(AND(OR($B$2="Clinical Lecturer / Medical Research Fellow",$B$2="Clinical Consultant - Old Contract (GP)"),$B156&lt;&gt;""),$C156*Thresholds_Rates!$F$15,IF(OR($B$2="APM Level 7",$B$2="R&amp;T Level 7"),$C156*Thresholds_Rates!$F$15,IF(SUMIF(Grades!$A:$A,$B$2,Grades!$BO:$BO)=1,$C156*Thresholds_Rates!$F$15,""))))))))</f>
        <v/>
      </c>
      <c r="G156" s="81" t="str">
        <f ca="1">IF(B156="","",IF($B$2="Salary Points 1 to 57","-",IF(SUMIF(Grades!$A:$A,$B$2,Grades!$BP:$BP)=0,"-",IF(AND(OR($B$2="New Consultant Contract"),$B156&lt;&gt;""),$C156*Thresholds_Rates!$F$16,IF(AND(OR($B$2="Clinical Lecturer / Medical Research Fellow",$B$2="Clinical Consultant - Old Contract (GP)"),$B156&lt;&gt;""),$C156*Thresholds_Rates!$F$16,IF(AND(OR($B$2="APM Level 7",$B$2="R&amp;T Level 7"),F156&lt;&gt;""),$C156*Thresholds_Rates!$F$16,IF(SUMIF(Grades!$A:$A,$B$2,Grades!$BP:$BP)=1,$C156*Thresholds_Rates!$F$16,"")))))))</f>
        <v/>
      </c>
      <c r="H156" s="81" t="str">
        <f ca="1">IF(B156="","",IF(SUMIF(Grades!$A:$A,$B$2,Grades!$BQ:$BQ)=0,"-",IF(AND($B$2="Salary Points 1 to 57",B156&gt;Thresholds_Rates!$C$17),"-",IF(AND($B$2="Salary Points 1 to 57",B156&lt;=Thresholds_Rates!$C$17),$C156*Thresholds_Rates!$F$17,IF(AND(OR($B$2="New Consultant Contract"),$B156&lt;&gt;""),$C156*Thresholds_Rates!$F$17,IF(AND(OR($B$2="Clinical Lecturer / Medical Research Fellow",$B$2="Clinical Consultant - Old Contract (GP)"),$B156&lt;&gt;""),$C156*Thresholds_Rates!$F$17,IF(AND(OR($B$2="APM Level 7",$B$2="R&amp;T Level 7"),G156&lt;&gt;""),$C156*Thresholds_Rates!$F$17,IF(SUMIF(Grades!$A:$A,$B$2,Grades!$BQ:$BQ)=1,$C156*Thresholds_Rates!$F$17,""))))))))</f>
        <v/>
      </c>
      <c r="I156" s="81"/>
      <c r="J156" s="81" t="str">
        <f ca="1">IF(B156="","",(C156*Thresholds_Rates!$C$12))</f>
        <v/>
      </c>
      <c r="K156" s="81"/>
      <c r="L156" s="68"/>
      <c r="M156" s="81" t="str">
        <f t="shared" ca="1" si="12"/>
        <v/>
      </c>
      <c r="N156" s="81" t="str">
        <f t="shared" ca="1" si="13"/>
        <v/>
      </c>
      <c r="O156" s="81" t="str">
        <f t="shared" ca="1" si="14"/>
        <v/>
      </c>
      <c r="P156" s="81" t="str">
        <f t="shared" ca="1" si="15"/>
        <v/>
      </c>
      <c r="Q156" s="81" t="str">
        <f t="shared" ca="1" si="16"/>
        <v/>
      </c>
      <c r="S156" s="83"/>
      <c r="T156" s="84"/>
      <c r="U156" s="83"/>
      <c r="V156" s="84"/>
    </row>
    <row r="157" spans="2:22" x14ac:dyDescent="0.25">
      <c r="B157" s="68" t="str">
        <f ca="1">IFERROR(INDEX('Points Lookup'!$A:$A,MATCH($AA159,'Points Lookup'!$AN:$AN,0)),"")</f>
        <v/>
      </c>
      <c r="C157" s="81" t="str">
        <f ca="1">IF(B157="","",IF($B$2="Apprenticeship",SUMIF('Points Lookup'!$AJ:$AJ,B157,'Points Lookup'!$AL:$AL),IF(AND(OR($B$2="New Consultant Contract"),$B157&lt;&gt;""),INDEX('Points Lookup'!$T:$T,MATCH($B157,'Points Lookup'!$S:$S,0)),IF(AND(OR($B$2="Clinical Lecturer / Medical Research Fellow",$B$2="Clinical Consultant - Old Contract (GP)"),$B157&lt;&gt;""),INDEX('Points Lookup'!$Q:$Q,MATCH($B157,'Points Lookup'!$P:$P,0)),IF(AND(OR($B$2="APM Level 7",$B$2="R&amp;T Level 7",$B$2="APM Level 8",$B$2="Technical Services Level 7"),B157&lt;&gt;""),INDEX('Points Lookup'!$H:$H,MATCH($AA157,'Points Lookup'!$AN:$AN,0)),IF($B$2="R&amp;T Level 5 - Clinical Lecturers (Vet School)",SUMIF('Points Lookup'!$V:$V,$B157,'Points Lookup'!$Y:$Y),IF($B$2="R&amp;T Level 6 - Clinical Associate Professors and Clinical Readers (Vet School)",SUMIF('Points Lookup'!$AC:$AC,$B157,'Points Lookup'!$AF:$AF),IFERROR(INDEX('Points Lookup'!$B:$B,MATCH($AA157,'Points Lookup'!$AN:$AN,0)),""))))))))</f>
        <v/>
      </c>
      <c r="D157" s="81"/>
      <c r="E157" s="81"/>
      <c r="F157" s="81" t="str">
        <f ca="1">IF($B157="","",IF(AND($B$2="Salary Points 3 to 57",B157&lt;Thresholds_Rates!$C$16),"-",IF(SUMIF(Grades!$A:$A,$B$2,Grades!$BO:$BO)=0,"-",IF(AND($B$2="Salary Points 3 to 57",B157&gt;=Thresholds_Rates!$C$16),$C157*Thresholds_Rates!$F$15,IF(AND(OR($B$2="New Consultant Contract"),$B157&lt;&gt;""),$C157*Thresholds_Rates!$F$15,IF(AND(OR($B$2="Clinical Lecturer / Medical Research Fellow",$B$2="Clinical Consultant - Old Contract (GP)"),$B157&lt;&gt;""),$C157*Thresholds_Rates!$F$15,IF(OR($B$2="APM Level 7",$B$2="R&amp;T Level 7"),$C157*Thresholds_Rates!$F$15,IF(SUMIF(Grades!$A:$A,$B$2,Grades!$BO:$BO)=1,$C157*Thresholds_Rates!$F$15,""))))))))</f>
        <v/>
      </c>
      <c r="G157" s="81" t="str">
        <f ca="1">IF(B157="","",IF($B$2="Salary Points 1 to 57","-",IF(SUMIF(Grades!$A:$A,$B$2,Grades!$BP:$BP)=0,"-",IF(AND(OR($B$2="New Consultant Contract"),$B157&lt;&gt;""),$C157*Thresholds_Rates!$F$16,IF(AND(OR($B$2="Clinical Lecturer / Medical Research Fellow",$B$2="Clinical Consultant - Old Contract (GP)"),$B157&lt;&gt;""),$C157*Thresholds_Rates!$F$16,IF(AND(OR($B$2="APM Level 7",$B$2="R&amp;T Level 7"),F157&lt;&gt;""),$C157*Thresholds_Rates!$F$16,IF(SUMIF(Grades!$A:$A,$B$2,Grades!$BP:$BP)=1,$C157*Thresholds_Rates!$F$16,"")))))))</f>
        <v/>
      </c>
      <c r="H157" s="81" t="str">
        <f ca="1">IF(B157="","",IF(SUMIF(Grades!$A:$A,$B$2,Grades!$BQ:$BQ)=0,"-",IF(AND($B$2="Salary Points 1 to 57",B157&gt;Thresholds_Rates!$C$17),"-",IF(AND($B$2="Salary Points 1 to 57",B157&lt;=Thresholds_Rates!$C$17),$C157*Thresholds_Rates!$F$17,IF(AND(OR($B$2="New Consultant Contract"),$B157&lt;&gt;""),$C157*Thresholds_Rates!$F$17,IF(AND(OR($B$2="Clinical Lecturer / Medical Research Fellow",$B$2="Clinical Consultant - Old Contract (GP)"),$B157&lt;&gt;""),$C157*Thresholds_Rates!$F$17,IF(AND(OR($B$2="APM Level 7",$B$2="R&amp;T Level 7"),G157&lt;&gt;""),$C157*Thresholds_Rates!$F$17,IF(SUMIF(Grades!$A:$A,$B$2,Grades!$BQ:$BQ)=1,$C157*Thresholds_Rates!$F$17,""))))))))</f>
        <v/>
      </c>
      <c r="I157" s="81"/>
      <c r="J157" s="81" t="str">
        <f ca="1">IF(B157="","",(C157*Thresholds_Rates!$C$12))</f>
        <v/>
      </c>
      <c r="K157" s="81"/>
      <c r="L157" s="68"/>
      <c r="M157" s="81" t="str">
        <f t="shared" ca="1" si="12"/>
        <v/>
      </c>
      <c r="N157" s="81" t="str">
        <f t="shared" ca="1" si="13"/>
        <v/>
      </c>
      <c r="O157" s="81" t="str">
        <f t="shared" ca="1" si="14"/>
        <v/>
      </c>
      <c r="P157" s="81" t="str">
        <f t="shared" ca="1" si="15"/>
        <v/>
      </c>
      <c r="Q157" s="81" t="str">
        <f t="shared" ca="1" si="16"/>
        <v/>
      </c>
      <c r="S157" s="83"/>
      <c r="T157" s="84"/>
      <c r="U157" s="83"/>
      <c r="V157" s="84"/>
    </row>
    <row r="158" spans="2:22" x14ac:dyDescent="0.25">
      <c r="B158" s="68" t="str">
        <f ca="1">IFERROR(INDEX('Points Lookup'!$A:$A,MATCH($AA160,'Points Lookup'!$AN:$AN,0)),"")</f>
        <v/>
      </c>
      <c r="C158" s="81" t="str">
        <f ca="1">IF(B158="","",IF($B$2="Apprenticeship",SUMIF('Points Lookup'!$AJ:$AJ,B158,'Points Lookup'!$AL:$AL),IF(AND(OR($B$2="New Consultant Contract"),$B158&lt;&gt;""),INDEX('Points Lookup'!$T:$T,MATCH($B158,'Points Lookup'!$S:$S,0)),IF(AND(OR($B$2="Clinical Lecturer / Medical Research Fellow",$B$2="Clinical Consultant - Old Contract (GP)"),$B158&lt;&gt;""),INDEX('Points Lookup'!$Q:$Q,MATCH($B158,'Points Lookup'!$P:$P,0)),IF(AND(OR($B$2="APM Level 7",$B$2="R&amp;T Level 7",$B$2="APM Level 8",$B$2="Technical Services Level 7"),B158&lt;&gt;""),INDEX('Points Lookup'!$H:$H,MATCH($AA158,'Points Lookup'!$AN:$AN,0)),IF($B$2="R&amp;T Level 5 - Clinical Lecturers (Vet School)",SUMIF('Points Lookup'!$V:$V,$B158,'Points Lookup'!$Y:$Y),IF($B$2="R&amp;T Level 6 - Clinical Associate Professors and Clinical Readers (Vet School)",SUMIF('Points Lookup'!$AC:$AC,$B158,'Points Lookup'!$AF:$AF),IFERROR(INDEX('Points Lookup'!$B:$B,MATCH($AA158,'Points Lookup'!$AN:$AN,0)),""))))))))</f>
        <v/>
      </c>
      <c r="D158" s="81"/>
      <c r="E158" s="81"/>
      <c r="F158" s="81" t="str">
        <f ca="1">IF($B158="","",IF(AND($B$2="Salary Points 3 to 57",B158&lt;Thresholds_Rates!$C$16),"-",IF(SUMIF(Grades!$A:$A,$B$2,Grades!$BO:$BO)=0,"-",IF(AND($B$2="Salary Points 3 to 57",B158&gt;=Thresholds_Rates!$C$16),$C158*Thresholds_Rates!$F$15,IF(AND(OR($B$2="New Consultant Contract"),$B158&lt;&gt;""),$C158*Thresholds_Rates!$F$15,IF(AND(OR($B$2="Clinical Lecturer / Medical Research Fellow",$B$2="Clinical Consultant - Old Contract (GP)"),$B158&lt;&gt;""),$C158*Thresholds_Rates!$F$15,IF(OR($B$2="APM Level 7",$B$2="R&amp;T Level 7"),$C158*Thresholds_Rates!$F$15,IF(SUMIF(Grades!$A:$A,$B$2,Grades!$BO:$BO)=1,$C158*Thresholds_Rates!$F$15,""))))))))</f>
        <v/>
      </c>
      <c r="G158" s="81" t="str">
        <f ca="1">IF(B158="","",IF($B$2="Salary Points 1 to 57","-",IF(SUMIF(Grades!$A:$A,$B$2,Grades!$BP:$BP)=0,"-",IF(AND(OR($B$2="New Consultant Contract"),$B158&lt;&gt;""),$C158*Thresholds_Rates!$F$16,IF(AND(OR($B$2="Clinical Lecturer / Medical Research Fellow",$B$2="Clinical Consultant - Old Contract (GP)"),$B158&lt;&gt;""),$C158*Thresholds_Rates!$F$16,IF(AND(OR($B$2="APM Level 7",$B$2="R&amp;T Level 7"),F158&lt;&gt;""),$C158*Thresholds_Rates!$F$16,IF(SUMIF(Grades!$A:$A,$B$2,Grades!$BP:$BP)=1,$C158*Thresholds_Rates!$F$16,"")))))))</f>
        <v/>
      </c>
      <c r="H158" s="81" t="str">
        <f ca="1">IF(B158="","",IF(SUMIF(Grades!$A:$A,$B$2,Grades!$BQ:$BQ)=0,"-",IF(AND($B$2="Salary Points 1 to 57",B158&gt;Thresholds_Rates!$C$17),"-",IF(AND($B$2="Salary Points 1 to 57",B158&lt;=Thresholds_Rates!$C$17),$C158*Thresholds_Rates!$F$17,IF(AND(OR($B$2="New Consultant Contract"),$B158&lt;&gt;""),$C158*Thresholds_Rates!$F$17,IF(AND(OR($B$2="Clinical Lecturer / Medical Research Fellow",$B$2="Clinical Consultant - Old Contract (GP)"),$B158&lt;&gt;""),$C158*Thresholds_Rates!$F$17,IF(AND(OR($B$2="APM Level 7",$B$2="R&amp;T Level 7"),G158&lt;&gt;""),$C158*Thresholds_Rates!$F$17,IF(SUMIF(Grades!$A:$A,$B$2,Grades!$BQ:$BQ)=1,$C158*Thresholds_Rates!$F$17,""))))))))</f>
        <v/>
      </c>
      <c r="I158" s="81"/>
      <c r="J158" s="81" t="str">
        <f ca="1">IF(B158="","",(C158*Thresholds_Rates!$C$12))</f>
        <v/>
      </c>
      <c r="K158" s="81"/>
      <c r="L158" s="68"/>
      <c r="M158" s="81" t="str">
        <f t="shared" ca="1" si="12"/>
        <v/>
      </c>
      <c r="N158" s="81" t="str">
        <f t="shared" ca="1" si="13"/>
        <v/>
      </c>
      <c r="O158" s="81" t="str">
        <f t="shared" ca="1" si="14"/>
        <v/>
      </c>
      <c r="P158" s="81" t="str">
        <f t="shared" ca="1" si="15"/>
        <v/>
      </c>
      <c r="Q158" s="81" t="str">
        <f t="shared" ca="1" si="16"/>
        <v/>
      </c>
      <c r="S158" s="83"/>
      <c r="T158" s="84"/>
      <c r="U158" s="83"/>
      <c r="V158" s="84"/>
    </row>
    <row r="159" spans="2:22" x14ac:dyDescent="0.25">
      <c r="B159" s="68" t="str">
        <f ca="1">IFERROR(INDEX('Points Lookup'!$A:$A,MATCH($AA161,'Points Lookup'!$AN:$AN,0)),"")</f>
        <v/>
      </c>
      <c r="C159" s="81" t="str">
        <f ca="1">IF(B159="","",IF($B$2="Apprenticeship",SUMIF('Points Lookup'!$AJ:$AJ,B159,'Points Lookup'!$AL:$AL),IF(AND(OR($B$2="New Consultant Contract"),$B159&lt;&gt;""),INDEX('Points Lookup'!$T:$T,MATCH($B159,'Points Lookup'!$S:$S,0)),IF(AND(OR($B$2="Clinical Lecturer / Medical Research Fellow",$B$2="Clinical Consultant - Old Contract (GP)"),$B159&lt;&gt;""),INDEX('Points Lookup'!$Q:$Q,MATCH($B159,'Points Lookup'!$P:$P,0)),IF(AND(OR($B$2="APM Level 7",$B$2="R&amp;T Level 7",$B$2="APM Level 8",$B$2="Technical Services Level 7"),B159&lt;&gt;""),INDEX('Points Lookup'!$H:$H,MATCH($AA159,'Points Lookup'!$AN:$AN,0)),IF($B$2="R&amp;T Level 5 - Clinical Lecturers (Vet School)",SUMIF('Points Lookup'!$V:$V,$B159,'Points Lookup'!$Y:$Y),IF($B$2="R&amp;T Level 6 - Clinical Associate Professors and Clinical Readers (Vet School)",SUMIF('Points Lookup'!$AC:$AC,$B159,'Points Lookup'!$AF:$AF),IFERROR(INDEX('Points Lookup'!$B:$B,MATCH($AA159,'Points Lookup'!$AN:$AN,0)),""))))))))</f>
        <v/>
      </c>
      <c r="D159" s="81"/>
      <c r="E159" s="81"/>
      <c r="F159" s="81" t="str">
        <f ca="1">IF($B159="","",IF(AND($B$2="Salary Points 3 to 57",B159&lt;Thresholds_Rates!$C$16),"-",IF(SUMIF(Grades!$A:$A,$B$2,Grades!$BO:$BO)=0,"-",IF(AND($B$2="Salary Points 3 to 57",B159&gt;=Thresholds_Rates!$C$16),$C159*Thresholds_Rates!$F$15,IF(AND(OR($B$2="New Consultant Contract"),$B159&lt;&gt;""),$C159*Thresholds_Rates!$F$15,IF(AND(OR($B$2="Clinical Lecturer / Medical Research Fellow",$B$2="Clinical Consultant - Old Contract (GP)"),$B159&lt;&gt;""),$C159*Thresholds_Rates!$F$15,IF(OR($B$2="APM Level 7",$B$2="R&amp;T Level 7"),$C159*Thresholds_Rates!$F$15,IF(SUMIF(Grades!$A:$A,$B$2,Grades!$BO:$BO)=1,$C159*Thresholds_Rates!$F$15,""))))))))</f>
        <v/>
      </c>
      <c r="G159" s="81" t="str">
        <f ca="1">IF(B159="","",IF($B$2="Salary Points 1 to 57","-",IF(SUMIF(Grades!$A:$A,$B$2,Grades!$BP:$BP)=0,"-",IF(AND(OR($B$2="New Consultant Contract"),$B159&lt;&gt;""),$C159*Thresholds_Rates!$F$16,IF(AND(OR($B$2="Clinical Lecturer / Medical Research Fellow",$B$2="Clinical Consultant - Old Contract (GP)"),$B159&lt;&gt;""),$C159*Thresholds_Rates!$F$16,IF(AND(OR($B$2="APM Level 7",$B$2="R&amp;T Level 7"),F159&lt;&gt;""),$C159*Thresholds_Rates!$F$16,IF(SUMIF(Grades!$A:$A,$B$2,Grades!$BP:$BP)=1,$C159*Thresholds_Rates!$F$16,"")))))))</f>
        <v/>
      </c>
      <c r="H159" s="81" t="str">
        <f ca="1">IF(B159="","",IF(SUMIF(Grades!$A:$A,$B$2,Grades!$BQ:$BQ)=0,"-",IF(AND($B$2="Salary Points 1 to 57",B159&gt;Thresholds_Rates!$C$17),"-",IF(AND($B$2="Salary Points 1 to 57",B159&lt;=Thresholds_Rates!$C$17),$C159*Thresholds_Rates!$F$17,IF(AND(OR($B$2="New Consultant Contract"),$B159&lt;&gt;""),$C159*Thresholds_Rates!$F$17,IF(AND(OR($B$2="Clinical Lecturer / Medical Research Fellow",$B$2="Clinical Consultant - Old Contract (GP)"),$B159&lt;&gt;""),$C159*Thresholds_Rates!$F$17,IF(AND(OR($B$2="APM Level 7",$B$2="R&amp;T Level 7"),G159&lt;&gt;""),$C159*Thresholds_Rates!$F$17,IF(SUMIF(Grades!$A:$A,$B$2,Grades!$BQ:$BQ)=1,$C159*Thresholds_Rates!$F$17,""))))))))</f>
        <v/>
      </c>
      <c r="I159" s="81"/>
      <c r="J159" s="81" t="str">
        <f ca="1">IF(B159="","",(C159*Thresholds_Rates!$C$12))</f>
        <v/>
      </c>
      <c r="K159" s="81"/>
      <c r="L159" s="68"/>
      <c r="M159" s="81" t="str">
        <f t="shared" ca="1" si="12"/>
        <v/>
      </c>
      <c r="N159" s="81" t="str">
        <f t="shared" ca="1" si="13"/>
        <v/>
      </c>
      <c r="O159" s="81" t="str">
        <f t="shared" ca="1" si="14"/>
        <v/>
      </c>
      <c r="P159" s="81" t="str">
        <f t="shared" ca="1" si="15"/>
        <v/>
      </c>
      <c r="Q159" s="81" t="str">
        <f t="shared" ca="1" si="16"/>
        <v/>
      </c>
      <c r="S159" s="83"/>
      <c r="T159" s="84"/>
      <c r="U159" s="83"/>
      <c r="V159" s="84"/>
    </row>
    <row r="160" spans="2:22" x14ac:dyDescent="0.25">
      <c r="B160" s="68" t="str">
        <f ca="1">IFERROR(INDEX('Points Lookup'!$A:$A,MATCH($AA162,'Points Lookup'!$AN:$AN,0)),"")</f>
        <v/>
      </c>
      <c r="C160" s="81" t="str">
        <f ca="1">IF(B160="","",IF($B$2="Apprenticeship",SUMIF('Points Lookup'!$AJ:$AJ,B160,'Points Lookup'!$AL:$AL),IF(AND(OR($B$2="New Consultant Contract"),$B160&lt;&gt;""),INDEX('Points Lookup'!$T:$T,MATCH($B160,'Points Lookup'!$S:$S,0)),IF(AND(OR($B$2="Clinical Lecturer / Medical Research Fellow",$B$2="Clinical Consultant - Old Contract (GP)"),$B160&lt;&gt;""),INDEX('Points Lookup'!$Q:$Q,MATCH($B160,'Points Lookup'!$P:$P,0)),IF(AND(OR($B$2="APM Level 7",$B$2="R&amp;T Level 7",$B$2="APM Level 8",$B$2="Technical Services Level 7"),B160&lt;&gt;""),INDEX('Points Lookup'!$H:$H,MATCH($AA160,'Points Lookup'!$AN:$AN,0)),IF($B$2="R&amp;T Level 5 - Clinical Lecturers (Vet School)",SUMIF('Points Lookup'!$V:$V,$B160,'Points Lookup'!$Y:$Y),IF($B$2="R&amp;T Level 6 - Clinical Associate Professors and Clinical Readers (Vet School)",SUMIF('Points Lookup'!$AC:$AC,$B160,'Points Lookup'!$AF:$AF),IFERROR(INDEX('Points Lookup'!$B:$B,MATCH($AA160,'Points Lookup'!$AN:$AN,0)),""))))))))</f>
        <v/>
      </c>
      <c r="D160" s="81"/>
      <c r="E160" s="81"/>
      <c r="F160" s="81" t="str">
        <f ca="1">IF($B160="","",IF(AND($B$2="Salary Points 3 to 57",B160&lt;Thresholds_Rates!$C$16),"-",IF(SUMIF(Grades!$A:$A,$B$2,Grades!$BO:$BO)=0,"-",IF(AND($B$2="Salary Points 3 to 57",B160&gt;=Thresholds_Rates!$C$16),$C160*Thresholds_Rates!$F$15,IF(AND(OR($B$2="New Consultant Contract"),$B160&lt;&gt;""),$C160*Thresholds_Rates!$F$15,IF(AND(OR($B$2="Clinical Lecturer / Medical Research Fellow",$B$2="Clinical Consultant - Old Contract (GP)"),$B160&lt;&gt;""),$C160*Thresholds_Rates!$F$15,IF(OR($B$2="APM Level 7",$B$2="R&amp;T Level 7"),$C160*Thresholds_Rates!$F$15,IF(SUMIF(Grades!$A:$A,$B$2,Grades!$BO:$BO)=1,$C160*Thresholds_Rates!$F$15,""))))))))</f>
        <v/>
      </c>
      <c r="G160" s="81" t="str">
        <f ca="1">IF(B160="","",IF($B$2="Salary Points 1 to 57","-",IF(SUMIF(Grades!$A:$A,$B$2,Grades!$BP:$BP)=0,"-",IF(AND(OR($B$2="New Consultant Contract"),$B160&lt;&gt;""),$C160*Thresholds_Rates!$F$16,IF(AND(OR($B$2="Clinical Lecturer / Medical Research Fellow",$B$2="Clinical Consultant - Old Contract (GP)"),$B160&lt;&gt;""),$C160*Thresholds_Rates!$F$16,IF(AND(OR($B$2="APM Level 7",$B$2="R&amp;T Level 7"),F160&lt;&gt;""),$C160*Thresholds_Rates!$F$16,IF(SUMIF(Grades!$A:$A,$B$2,Grades!$BP:$BP)=1,$C160*Thresholds_Rates!$F$16,"")))))))</f>
        <v/>
      </c>
      <c r="H160" s="81" t="str">
        <f ca="1">IF(B160="","",IF(SUMIF(Grades!$A:$A,$B$2,Grades!$BQ:$BQ)=0,"-",IF(AND($B$2="Salary Points 1 to 57",B160&gt;Thresholds_Rates!$C$17),"-",IF(AND($B$2="Salary Points 1 to 57",B160&lt;=Thresholds_Rates!$C$17),$C160*Thresholds_Rates!$F$17,IF(AND(OR($B$2="New Consultant Contract"),$B160&lt;&gt;""),$C160*Thresholds_Rates!$F$17,IF(AND(OR($B$2="Clinical Lecturer / Medical Research Fellow",$B$2="Clinical Consultant - Old Contract (GP)"),$B160&lt;&gt;""),$C160*Thresholds_Rates!$F$17,IF(AND(OR($B$2="APM Level 7",$B$2="R&amp;T Level 7"),G160&lt;&gt;""),$C160*Thresholds_Rates!$F$17,IF(SUMIF(Grades!$A:$A,$B$2,Grades!$BQ:$BQ)=1,$C160*Thresholds_Rates!$F$17,""))))))))</f>
        <v/>
      </c>
      <c r="I160" s="81"/>
      <c r="J160" s="81" t="str">
        <f ca="1">IF(B160="","",(C160*Thresholds_Rates!$C$12))</f>
        <v/>
      </c>
      <c r="K160" s="81"/>
      <c r="L160" s="68"/>
      <c r="M160" s="81" t="str">
        <f t="shared" ca="1" si="12"/>
        <v/>
      </c>
      <c r="N160" s="81" t="str">
        <f t="shared" ca="1" si="13"/>
        <v/>
      </c>
      <c r="O160" s="81" t="str">
        <f t="shared" ca="1" si="14"/>
        <v/>
      </c>
      <c r="P160" s="81" t="str">
        <f t="shared" ca="1" si="15"/>
        <v/>
      </c>
      <c r="Q160" s="81" t="str">
        <f t="shared" ca="1" si="16"/>
        <v/>
      </c>
      <c r="S160" s="83"/>
      <c r="T160" s="84"/>
      <c r="U160" s="83"/>
      <c r="V160" s="84"/>
    </row>
    <row r="161" spans="2:22" x14ac:dyDescent="0.25">
      <c r="B161" s="68" t="str">
        <f ca="1">IFERROR(INDEX('Points Lookup'!$A:$A,MATCH($AA163,'Points Lookup'!$AN:$AN,0)),"")</f>
        <v/>
      </c>
      <c r="C161" s="81" t="str">
        <f ca="1">IF(B161="","",IF($B$2="Apprenticeship",SUMIF('Points Lookup'!$AJ:$AJ,B161,'Points Lookup'!$AL:$AL),IF(AND(OR($B$2="New Consultant Contract"),$B161&lt;&gt;""),INDEX('Points Lookup'!$T:$T,MATCH($B161,'Points Lookup'!$S:$S,0)),IF(AND(OR($B$2="Clinical Lecturer / Medical Research Fellow",$B$2="Clinical Consultant - Old Contract (GP)"),$B161&lt;&gt;""),INDEX('Points Lookup'!$Q:$Q,MATCH($B161,'Points Lookup'!$P:$P,0)),IF(AND(OR($B$2="APM Level 7",$B$2="R&amp;T Level 7",$B$2="APM Level 8",$B$2="Technical Services Level 7"),B161&lt;&gt;""),INDEX('Points Lookup'!$H:$H,MATCH($AA161,'Points Lookup'!$AN:$AN,0)),IF($B$2="R&amp;T Level 5 - Clinical Lecturers (Vet School)",SUMIF('Points Lookup'!$V:$V,$B161,'Points Lookup'!$Y:$Y),IF($B$2="R&amp;T Level 6 - Clinical Associate Professors and Clinical Readers (Vet School)",SUMIF('Points Lookup'!$AC:$AC,$B161,'Points Lookup'!$AF:$AF),IFERROR(INDEX('Points Lookup'!$B:$B,MATCH($AA161,'Points Lookup'!$AN:$AN,0)),""))))))))</f>
        <v/>
      </c>
      <c r="D161" s="81"/>
      <c r="E161" s="81"/>
      <c r="F161" s="81" t="str">
        <f ca="1">IF($B161="","",IF(AND($B$2="Salary Points 3 to 57",B161&lt;Thresholds_Rates!$C$16),"-",IF(SUMIF(Grades!$A:$A,$B$2,Grades!$BO:$BO)=0,"-",IF(AND($B$2="Salary Points 3 to 57",B161&gt;=Thresholds_Rates!$C$16),$C161*Thresholds_Rates!$F$15,IF(AND(OR($B$2="New Consultant Contract"),$B161&lt;&gt;""),$C161*Thresholds_Rates!$F$15,IF(AND(OR($B$2="Clinical Lecturer / Medical Research Fellow",$B$2="Clinical Consultant - Old Contract (GP)"),$B161&lt;&gt;""),$C161*Thresholds_Rates!$F$15,IF(OR($B$2="APM Level 7",$B$2="R&amp;T Level 7"),$C161*Thresholds_Rates!$F$15,IF(SUMIF(Grades!$A:$A,$B$2,Grades!$BO:$BO)=1,$C161*Thresholds_Rates!$F$15,""))))))))</f>
        <v/>
      </c>
      <c r="G161" s="81" t="str">
        <f ca="1">IF(B161="","",IF($B$2="Salary Points 1 to 57","-",IF(SUMIF(Grades!$A:$A,$B$2,Grades!$BP:$BP)=0,"-",IF(AND(OR($B$2="New Consultant Contract"),$B161&lt;&gt;""),$C161*Thresholds_Rates!$F$16,IF(AND(OR($B$2="Clinical Lecturer / Medical Research Fellow",$B$2="Clinical Consultant - Old Contract (GP)"),$B161&lt;&gt;""),$C161*Thresholds_Rates!$F$16,IF(AND(OR($B$2="APM Level 7",$B$2="R&amp;T Level 7"),F161&lt;&gt;""),$C161*Thresholds_Rates!$F$16,IF(SUMIF(Grades!$A:$A,$B$2,Grades!$BP:$BP)=1,$C161*Thresholds_Rates!$F$16,"")))))))</f>
        <v/>
      </c>
      <c r="H161" s="81" t="str">
        <f ca="1">IF(B161="","",IF(SUMIF(Grades!$A:$A,$B$2,Grades!$BQ:$BQ)=0,"-",IF(AND($B$2="Salary Points 1 to 57",B161&gt;Thresholds_Rates!$C$17),"-",IF(AND($B$2="Salary Points 1 to 57",B161&lt;=Thresholds_Rates!$C$17),$C161*Thresholds_Rates!$F$17,IF(AND(OR($B$2="New Consultant Contract"),$B161&lt;&gt;""),$C161*Thresholds_Rates!$F$17,IF(AND(OR($B$2="Clinical Lecturer / Medical Research Fellow",$B$2="Clinical Consultant - Old Contract (GP)"),$B161&lt;&gt;""),$C161*Thresholds_Rates!$F$17,IF(AND(OR($B$2="APM Level 7",$B$2="R&amp;T Level 7"),G161&lt;&gt;""),$C161*Thresholds_Rates!$F$17,IF(SUMIF(Grades!$A:$A,$B$2,Grades!$BQ:$BQ)=1,$C161*Thresholds_Rates!$F$17,""))))))))</f>
        <v/>
      </c>
      <c r="I161" s="81"/>
      <c r="J161" s="81" t="str">
        <f ca="1">IF(B161="","",(C161*Thresholds_Rates!$C$12))</f>
        <v/>
      </c>
      <c r="K161" s="81"/>
      <c r="L161" s="68"/>
      <c r="M161" s="81" t="str">
        <f t="shared" ca="1" si="12"/>
        <v/>
      </c>
      <c r="N161" s="81" t="str">
        <f t="shared" ca="1" si="13"/>
        <v/>
      </c>
      <c r="O161" s="81" t="str">
        <f t="shared" ca="1" si="14"/>
        <v/>
      </c>
      <c r="P161" s="81" t="str">
        <f t="shared" ca="1" si="15"/>
        <v/>
      </c>
      <c r="Q161" s="81" t="str">
        <f t="shared" ca="1" si="16"/>
        <v/>
      </c>
      <c r="S161" s="83"/>
      <c r="T161" s="84"/>
      <c r="U161" s="83"/>
      <c r="V161" s="84"/>
    </row>
    <row r="162" spans="2:22" x14ac:dyDescent="0.25">
      <c r="B162" s="68" t="str">
        <f ca="1">IFERROR(INDEX('Points Lookup'!$A:$A,MATCH($AA164,'Points Lookup'!$AN:$AN,0)),"")</f>
        <v/>
      </c>
      <c r="C162" s="81" t="str">
        <f ca="1">IF(B162="","",IF($B$2="Apprenticeship",SUMIF('Points Lookup'!$AJ:$AJ,B162,'Points Lookup'!$AL:$AL),IF(AND(OR($B$2="New Consultant Contract"),$B162&lt;&gt;""),INDEX('Points Lookup'!$T:$T,MATCH($B162,'Points Lookup'!$S:$S,0)),IF(AND(OR($B$2="Clinical Lecturer / Medical Research Fellow",$B$2="Clinical Consultant - Old Contract (GP)"),$B162&lt;&gt;""),INDEX('Points Lookup'!$Q:$Q,MATCH($B162,'Points Lookup'!$P:$P,0)),IF(AND(OR($B$2="APM Level 7",$B$2="R&amp;T Level 7",$B$2="APM Level 8",$B$2="Technical Services Level 7"),B162&lt;&gt;""),INDEX('Points Lookup'!$H:$H,MATCH($AA162,'Points Lookup'!$AN:$AN,0)),IF($B$2="R&amp;T Level 5 - Clinical Lecturers (Vet School)",SUMIF('Points Lookup'!$V:$V,$B162,'Points Lookup'!$Y:$Y),IF($B$2="R&amp;T Level 6 - Clinical Associate Professors and Clinical Readers (Vet School)",SUMIF('Points Lookup'!$AC:$AC,$B162,'Points Lookup'!$AF:$AF),IFERROR(INDEX('Points Lookup'!$B:$B,MATCH($AA162,'Points Lookup'!$AN:$AN,0)),""))))))))</f>
        <v/>
      </c>
      <c r="D162" s="81"/>
      <c r="E162" s="81"/>
      <c r="F162" s="81" t="str">
        <f ca="1">IF($B162="","",IF(AND($B$2="Salary Points 3 to 57",B162&lt;Thresholds_Rates!$C$16),"-",IF(SUMIF(Grades!$A:$A,$B$2,Grades!$BO:$BO)=0,"-",IF(AND($B$2="Salary Points 3 to 57",B162&gt;=Thresholds_Rates!$C$16),$C162*Thresholds_Rates!$F$15,IF(AND(OR($B$2="New Consultant Contract"),$B162&lt;&gt;""),$C162*Thresholds_Rates!$F$15,IF(AND(OR($B$2="Clinical Lecturer / Medical Research Fellow",$B$2="Clinical Consultant - Old Contract (GP)"),$B162&lt;&gt;""),$C162*Thresholds_Rates!$F$15,IF(OR($B$2="APM Level 7",$B$2="R&amp;T Level 7"),$C162*Thresholds_Rates!$F$15,IF(SUMIF(Grades!$A:$A,$B$2,Grades!$BO:$BO)=1,$C162*Thresholds_Rates!$F$15,""))))))))</f>
        <v/>
      </c>
      <c r="G162" s="81" t="str">
        <f ca="1">IF(B162="","",IF($B$2="Salary Points 1 to 57","-",IF(SUMIF(Grades!$A:$A,$B$2,Grades!$BP:$BP)=0,"-",IF(AND(OR($B$2="New Consultant Contract"),$B162&lt;&gt;""),$C162*Thresholds_Rates!$F$16,IF(AND(OR($B$2="Clinical Lecturer / Medical Research Fellow",$B$2="Clinical Consultant - Old Contract (GP)"),$B162&lt;&gt;""),$C162*Thresholds_Rates!$F$16,IF(AND(OR($B$2="APM Level 7",$B$2="R&amp;T Level 7"),F162&lt;&gt;""),$C162*Thresholds_Rates!$F$16,IF(SUMIF(Grades!$A:$A,$B$2,Grades!$BP:$BP)=1,$C162*Thresholds_Rates!$F$16,"")))))))</f>
        <v/>
      </c>
      <c r="H162" s="81" t="str">
        <f ca="1">IF(B162="","",IF(SUMIF(Grades!$A:$A,$B$2,Grades!$BQ:$BQ)=0,"-",IF(AND($B$2="Salary Points 1 to 57",B162&gt;Thresholds_Rates!$C$17),"-",IF(AND($B$2="Salary Points 1 to 57",B162&lt;=Thresholds_Rates!$C$17),$C162*Thresholds_Rates!$F$17,IF(AND(OR($B$2="New Consultant Contract"),$B162&lt;&gt;""),$C162*Thresholds_Rates!$F$17,IF(AND(OR($B$2="Clinical Lecturer / Medical Research Fellow",$B$2="Clinical Consultant - Old Contract (GP)"),$B162&lt;&gt;""),$C162*Thresholds_Rates!$F$17,IF(AND(OR($B$2="APM Level 7",$B$2="R&amp;T Level 7"),G162&lt;&gt;""),$C162*Thresholds_Rates!$F$17,IF(SUMIF(Grades!$A:$A,$B$2,Grades!$BQ:$BQ)=1,$C162*Thresholds_Rates!$F$17,""))))))))</f>
        <v/>
      </c>
      <c r="I162" s="81"/>
      <c r="J162" s="81" t="str">
        <f ca="1">IF(B162="","",(C162*Thresholds_Rates!$C$12))</f>
        <v/>
      </c>
      <c r="K162" s="81"/>
      <c r="L162" s="68"/>
      <c r="M162" s="81" t="str">
        <f t="shared" ca="1" si="12"/>
        <v/>
      </c>
      <c r="N162" s="81" t="str">
        <f t="shared" ca="1" si="13"/>
        <v/>
      </c>
      <c r="O162" s="81" t="str">
        <f t="shared" ca="1" si="14"/>
        <v/>
      </c>
      <c r="P162" s="81" t="str">
        <f t="shared" ca="1" si="15"/>
        <v/>
      </c>
      <c r="Q162" s="81" t="str">
        <f t="shared" ca="1" si="16"/>
        <v/>
      </c>
      <c r="S162" s="83"/>
      <c r="T162" s="84"/>
      <c r="U162" s="83"/>
      <c r="V162" s="84"/>
    </row>
    <row r="163" spans="2:22" x14ac:dyDescent="0.25">
      <c r="B163" s="68" t="str">
        <f ca="1">IFERROR(INDEX('Points Lookup'!$A:$A,MATCH($AA165,'Points Lookup'!$AN:$AN,0)),"")</f>
        <v/>
      </c>
      <c r="C163" s="81" t="str">
        <f ca="1">IF(B163="","",IF($B$2="Apprenticeship",SUMIF('Points Lookup'!$AJ:$AJ,B163,'Points Lookup'!$AL:$AL),IF(AND(OR($B$2="New Consultant Contract"),$B163&lt;&gt;""),INDEX('Points Lookup'!$T:$T,MATCH($B163,'Points Lookup'!$S:$S,0)),IF(AND(OR($B$2="Clinical Lecturer / Medical Research Fellow",$B$2="Clinical Consultant - Old Contract (GP)"),$B163&lt;&gt;""),INDEX('Points Lookup'!$Q:$Q,MATCH($B163,'Points Lookup'!$P:$P,0)),IF(AND(OR($B$2="APM Level 7",$B$2="R&amp;T Level 7",$B$2="APM Level 8",$B$2="Technical Services Level 7"),B163&lt;&gt;""),INDEX('Points Lookup'!$H:$H,MATCH($AA163,'Points Lookup'!$AN:$AN,0)),IF($B$2="R&amp;T Level 5 - Clinical Lecturers (Vet School)",SUMIF('Points Lookup'!$V:$V,$B163,'Points Lookup'!$Y:$Y),IF($B$2="R&amp;T Level 6 - Clinical Associate Professors and Clinical Readers (Vet School)",SUMIF('Points Lookup'!$AC:$AC,$B163,'Points Lookup'!$AF:$AF),IFERROR(INDEX('Points Lookup'!$B:$B,MATCH($AA163,'Points Lookup'!$AN:$AN,0)),""))))))))</f>
        <v/>
      </c>
      <c r="D163" s="81"/>
      <c r="E163" s="81"/>
      <c r="F163" s="81" t="str">
        <f ca="1">IF($B163="","",IF(AND($B$2="Salary Points 3 to 57",B163&lt;Thresholds_Rates!$C$16),"-",IF(SUMIF(Grades!$A:$A,$B$2,Grades!$BO:$BO)=0,"-",IF(AND($B$2="Salary Points 3 to 57",B163&gt;=Thresholds_Rates!$C$16),$C163*Thresholds_Rates!$F$15,IF(AND(OR($B$2="New Consultant Contract"),$B163&lt;&gt;""),$C163*Thresholds_Rates!$F$15,IF(AND(OR($B$2="Clinical Lecturer / Medical Research Fellow",$B$2="Clinical Consultant - Old Contract (GP)"),$B163&lt;&gt;""),$C163*Thresholds_Rates!$F$15,IF(OR($B$2="APM Level 7",$B$2="R&amp;T Level 7"),$C163*Thresholds_Rates!$F$15,IF(SUMIF(Grades!$A:$A,$B$2,Grades!$BO:$BO)=1,$C163*Thresholds_Rates!$F$15,""))))))))</f>
        <v/>
      </c>
      <c r="G163" s="81" t="str">
        <f ca="1">IF(B163="","",IF($B$2="Salary Points 1 to 57","-",IF(SUMIF(Grades!$A:$A,$B$2,Grades!$BP:$BP)=0,"-",IF(AND(OR($B$2="New Consultant Contract"),$B163&lt;&gt;""),$C163*Thresholds_Rates!$F$16,IF(AND(OR($B$2="Clinical Lecturer / Medical Research Fellow",$B$2="Clinical Consultant - Old Contract (GP)"),$B163&lt;&gt;""),$C163*Thresholds_Rates!$F$16,IF(AND(OR($B$2="APM Level 7",$B$2="R&amp;T Level 7"),F163&lt;&gt;""),$C163*Thresholds_Rates!$F$16,IF(SUMIF(Grades!$A:$A,$B$2,Grades!$BP:$BP)=1,$C163*Thresholds_Rates!$F$16,"")))))))</f>
        <v/>
      </c>
      <c r="H163" s="81" t="str">
        <f ca="1">IF(B163="","",IF(SUMIF(Grades!$A:$A,$B$2,Grades!$BQ:$BQ)=0,"-",IF(AND($B$2="Salary Points 1 to 57",B163&gt;Thresholds_Rates!$C$17),"-",IF(AND($B$2="Salary Points 1 to 57",B163&lt;=Thresholds_Rates!$C$17),$C163*Thresholds_Rates!$F$17,IF(AND(OR($B$2="New Consultant Contract"),$B163&lt;&gt;""),$C163*Thresholds_Rates!$F$17,IF(AND(OR($B$2="Clinical Lecturer / Medical Research Fellow",$B$2="Clinical Consultant - Old Contract (GP)"),$B163&lt;&gt;""),$C163*Thresholds_Rates!$F$17,IF(AND(OR($B$2="APM Level 7",$B$2="R&amp;T Level 7"),G163&lt;&gt;""),$C163*Thresholds_Rates!$F$17,IF(SUMIF(Grades!$A:$A,$B$2,Grades!$BQ:$BQ)=1,$C163*Thresholds_Rates!$F$17,""))))))))</f>
        <v/>
      </c>
      <c r="I163" s="81"/>
      <c r="J163" s="81" t="str">
        <f ca="1">IF(B163="","",(C163*Thresholds_Rates!$C$12))</f>
        <v/>
      </c>
      <c r="K163" s="81"/>
      <c r="L163" s="68"/>
      <c r="M163" s="81" t="str">
        <f t="shared" ca="1" si="12"/>
        <v/>
      </c>
      <c r="N163" s="81" t="str">
        <f t="shared" ca="1" si="13"/>
        <v/>
      </c>
      <c r="O163" s="81" t="str">
        <f t="shared" ca="1" si="14"/>
        <v/>
      </c>
      <c r="P163" s="81" t="str">
        <f t="shared" ca="1" si="15"/>
        <v/>
      </c>
      <c r="Q163" s="81" t="str">
        <f t="shared" ca="1" si="16"/>
        <v/>
      </c>
      <c r="S163" s="83"/>
      <c r="T163" s="84"/>
      <c r="U163" s="83"/>
      <c r="V163" s="84"/>
    </row>
    <row r="164" spans="2:22" x14ac:dyDescent="0.25">
      <c r="B164" s="68" t="str">
        <f ca="1">IFERROR(INDEX('Points Lookup'!$A:$A,MATCH($AA166,'Points Lookup'!$AN:$AN,0)),"")</f>
        <v/>
      </c>
      <c r="C164" s="81" t="str">
        <f ca="1">IF(B164="","",IF($B$2="Apprenticeship",SUMIF('Points Lookup'!$AJ:$AJ,B164,'Points Lookup'!$AL:$AL),IF(AND(OR($B$2="New Consultant Contract"),$B164&lt;&gt;""),INDEX('Points Lookup'!$T:$T,MATCH($B164,'Points Lookup'!$S:$S,0)),IF(AND(OR($B$2="Clinical Lecturer / Medical Research Fellow",$B$2="Clinical Consultant - Old Contract (GP)"),$B164&lt;&gt;""),INDEX('Points Lookup'!$Q:$Q,MATCH($B164,'Points Lookup'!$P:$P,0)),IF(AND(OR($B$2="APM Level 7",$B$2="R&amp;T Level 7",$B$2="APM Level 8",$B$2="Technical Services Level 7"),B164&lt;&gt;""),INDEX('Points Lookup'!$H:$H,MATCH($AA164,'Points Lookup'!$AN:$AN,0)),IF($B$2="R&amp;T Level 5 - Clinical Lecturers (Vet School)",SUMIF('Points Lookup'!$V:$V,$B164,'Points Lookup'!$Y:$Y),IF($B$2="R&amp;T Level 6 - Clinical Associate Professors and Clinical Readers (Vet School)",SUMIF('Points Lookup'!$AC:$AC,$B164,'Points Lookup'!$AF:$AF),IFERROR(INDEX('Points Lookup'!$B:$B,MATCH($AA164,'Points Lookup'!$AN:$AN,0)),""))))))))</f>
        <v/>
      </c>
      <c r="D164" s="81"/>
      <c r="E164" s="81"/>
      <c r="F164" s="81" t="str">
        <f ca="1">IF($B164="","",IF(AND($B$2="Salary Points 3 to 57",B164&lt;Thresholds_Rates!$C$16),"-",IF(SUMIF(Grades!$A:$A,$B$2,Grades!$BO:$BO)=0,"-",IF(AND($B$2="Salary Points 3 to 57",B164&gt;=Thresholds_Rates!$C$16),$C164*Thresholds_Rates!$F$15,IF(AND(OR($B$2="New Consultant Contract"),$B164&lt;&gt;""),$C164*Thresholds_Rates!$F$15,IF(AND(OR($B$2="Clinical Lecturer / Medical Research Fellow",$B$2="Clinical Consultant - Old Contract (GP)"),$B164&lt;&gt;""),$C164*Thresholds_Rates!$F$15,IF(OR($B$2="APM Level 7",$B$2="R&amp;T Level 7"),$C164*Thresholds_Rates!$F$15,IF(SUMIF(Grades!$A:$A,$B$2,Grades!$BO:$BO)=1,$C164*Thresholds_Rates!$F$15,""))))))))</f>
        <v/>
      </c>
      <c r="G164" s="81" t="str">
        <f ca="1">IF(B164="","",IF($B$2="Salary Points 1 to 57","-",IF(SUMIF(Grades!$A:$A,$B$2,Grades!$BP:$BP)=0,"-",IF(AND(OR($B$2="New Consultant Contract"),$B164&lt;&gt;""),$C164*Thresholds_Rates!$F$16,IF(AND(OR($B$2="Clinical Lecturer / Medical Research Fellow",$B$2="Clinical Consultant - Old Contract (GP)"),$B164&lt;&gt;""),$C164*Thresholds_Rates!$F$16,IF(AND(OR($B$2="APM Level 7",$B$2="R&amp;T Level 7"),F164&lt;&gt;""),$C164*Thresholds_Rates!$F$16,IF(SUMIF(Grades!$A:$A,$B$2,Grades!$BP:$BP)=1,$C164*Thresholds_Rates!$F$16,"")))))))</f>
        <v/>
      </c>
      <c r="H164" s="81" t="str">
        <f ca="1">IF(B164="","",IF(SUMIF(Grades!$A:$A,$B$2,Grades!$BQ:$BQ)=0,"-",IF(AND($B$2="Salary Points 1 to 57",B164&gt;Thresholds_Rates!$C$17),"-",IF(AND($B$2="Salary Points 1 to 57",B164&lt;=Thresholds_Rates!$C$17),$C164*Thresholds_Rates!$F$17,IF(AND(OR($B$2="New Consultant Contract"),$B164&lt;&gt;""),$C164*Thresholds_Rates!$F$17,IF(AND(OR($B$2="Clinical Lecturer / Medical Research Fellow",$B$2="Clinical Consultant - Old Contract (GP)"),$B164&lt;&gt;""),$C164*Thresholds_Rates!$F$17,IF(AND(OR($B$2="APM Level 7",$B$2="R&amp;T Level 7"),G164&lt;&gt;""),$C164*Thresholds_Rates!$F$17,IF(SUMIF(Grades!$A:$A,$B$2,Grades!$BQ:$BQ)=1,$C164*Thresholds_Rates!$F$17,""))))))))</f>
        <v/>
      </c>
      <c r="I164" s="81"/>
      <c r="J164" s="81" t="str">
        <f ca="1">IF(B164="","",(C164*Thresholds_Rates!$C$12))</f>
        <v/>
      </c>
      <c r="K164" s="81"/>
      <c r="L164" s="68"/>
      <c r="M164" s="81" t="str">
        <f t="shared" ca="1" si="12"/>
        <v/>
      </c>
      <c r="N164" s="81" t="str">
        <f t="shared" ca="1" si="13"/>
        <v/>
      </c>
      <c r="O164" s="81" t="str">
        <f t="shared" ca="1" si="14"/>
        <v/>
      </c>
      <c r="P164" s="81" t="str">
        <f t="shared" ca="1" si="15"/>
        <v/>
      </c>
      <c r="Q164" s="81" t="str">
        <f t="shared" ca="1" si="16"/>
        <v/>
      </c>
      <c r="S164" s="83"/>
      <c r="T164" s="84"/>
      <c r="U164" s="83"/>
      <c r="V164" s="84"/>
    </row>
    <row r="165" spans="2:22" x14ac:dyDescent="0.25">
      <c r="B165" s="68" t="str">
        <f ca="1">IFERROR(INDEX('Points Lookup'!$A:$A,MATCH($AA167,'Points Lookup'!$AN:$AN,0)),"")</f>
        <v/>
      </c>
      <c r="C165" s="81" t="str">
        <f ca="1">IF(B165="","",IF($B$2="Apprenticeship",SUMIF('Points Lookup'!$AJ:$AJ,B165,'Points Lookup'!$AL:$AL),IF(AND(OR($B$2="New Consultant Contract"),$B165&lt;&gt;""),INDEX('Points Lookup'!$T:$T,MATCH($B165,'Points Lookup'!$S:$S,0)),IF(AND(OR($B$2="Clinical Lecturer / Medical Research Fellow",$B$2="Clinical Consultant - Old Contract (GP)"),$B165&lt;&gt;""),INDEX('Points Lookup'!$Q:$Q,MATCH($B165,'Points Lookup'!$P:$P,0)),IF(AND(OR($B$2="APM Level 7",$B$2="R&amp;T Level 7",$B$2="APM Level 8",$B$2="Technical Services Level 7"),B165&lt;&gt;""),INDEX('Points Lookup'!$H:$H,MATCH($AA165,'Points Lookup'!$AN:$AN,0)),IF($B$2="R&amp;T Level 5 - Clinical Lecturers (Vet School)",SUMIF('Points Lookup'!$V:$V,$B165,'Points Lookup'!$Y:$Y),IF($B$2="R&amp;T Level 6 - Clinical Associate Professors and Clinical Readers (Vet School)",SUMIF('Points Lookup'!$AC:$AC,$B165,'Points Lookup'!$AF:$AF),IFERROR(INDEX('Points Lookup'!$B:$B,MATCH($AA165,'Points Lookup'!$AN:$AN,0)),""))))))))</f>
        <v/>
      </c>
      <c r="D165" s="81"/>
      <c r="E165" s="81"/>
      <c r="F165" s="81" t="str">
        <f ca="1">IF($B165="","",IF(AND($B$2="Salary Points 3 to 57",B165&lt;Thresholds_Rates!$C$16),"-",IF(SUMIF(Grades!$A:$A,$B$2,Grades!$BO:$BO)=0,"-",IF(AND($B$2="Salary Points 3 to 57",B165&gt;=Thresholds_Rates!$C$16),$C165*Thresholds_Rates!$F$15,IF(AND(OR($B$2="New Consultant Contract"),$B165&lt;&gt;""),$C165*Thresholds_Rates!$F$15,IF(AND(OR($B$2="Clinical Lecturer / Medical Research Fellow",$B$2="Clinical Consultant - Old Contract (GP)"),$B165&lt;&gt;""),$C165*Thresholds_Rates!$F$15,IF(OR($B$2="APM Level 7",$B$2="R&amp;T Level 7"),$C165*Thresholds_Rates!$F$15,IF(SUMIF(Grades!$A:$A,$B$2,Grades!$BO:$BO)=1,$C165*Thresholds_Rates!$F$15,""))))))))</f>
        <v/>
      </c>
      <c r="G165" s="81" t="str">
        <f ca="1">IF(B165="","",IF($B$2="Salary Points 1 to 57","-",IF(SUMIF(Grades!$A:$A,$B$2,Grades!$BP:$BP)=0,"-",IF(AND(OR($B$2="New Consultant Contract"),$B165&lt;&gt;""),$C165*Thresholds_Rates!$F$16,IF(AND(OR($B$2="Clinical Lecturer / Medical Research Fellow",$B$2="Clinical Consultant - Old Contract (GP)"),$B165&lt;&gt;""),$C165*Thresholds_Rates!$F$16,IF(AND(OR($B$2="APM Level 7",$B$2="R&amp;T Level 7"),F165&lt;&gt;""),$C165*Thresholds_Rates!$F$16,IF(SUMIF(Grades!$A:$A,$B$2,Grades!$BP:$BP)=1,$C165*Thresholds_Rates!$F$16,"")))))))</f>
        <v/>
      </c>
      <c r="H165" s="81" t="str">
        <f ca="1">IF(B165="","",IF(SUMIF(Grades!$A:$A,$B$2,Grades!$BQ:$BQ)=0,"-",IF(AND($B$2="Salary Points 1 to 57",B165&gt;Thresholds_Rates!$C$17),"-",IF(AND($B$2="Salary Points 1 to 57",B165&lt;=Thresholds_Rates!$C$17),$C165*Thresholds_Rates!$F$17,IF(AND(OR($B$2="New Consultant Contract"),$B165&lt;&gt;""),$C165*Thresholds_Rates!$F$17,IF(AND(OR($B$2="Clinical Lecturer / Medical Research Fellow",$B$2="Clinical Consultant - Old Contract (GP)"),$B165&lt;&gt;""),$C165*Thresholds_Rates!$F$17,IF(AND(OR($B$2="APM Level 7",$B$2="R&amp;T Level 7"),G165&lt;&gt;""),$C165*Thresholds_Rates!$F$17,IF(SUMIF(Grades!$A:$A,$B$2,Grades!$BQ:$BQ)=1,$C165*Thresholds_Rates!$F$17,""))))))))</f>
        <v/>
      </c>
      <c r="I165" s="81"/>
      <c r="J165" s="81" t="str">
        <f ca="1">IF(B165="","",(C165*Thresholds_Rates!$C$12))</f>
        <v/>
      </c>
      <c r="K165" s="81"/>
      <c r="L165" s="68"/>
      <c r="M165" s="81" t="str">
        <f t="shared" ca="1" si="12"/>
        <v/>
      </c>
      <c r="N165" s="81" t="str">
        <f t="shared" ca="1" si="13"/>
        <v/>
      </c>
      <c r="O165" s="81" t="str">
        <f t="shared" ca="1" si="14"/>
        <v/>
      </c>
      <c r="P165" s="81" t="str">
        <f t="shared" ca="1" si="15"/>
        <v/>
      </c>
      <c r="Q165" s="81" t="str">
        <f t="shared" ca="1" si="16"/>
        <v/>
      </c>
      <c r="S165" s="83"/>
      <c r="T165" s="84"/>
      <c r="U165" s="83"/>
      <c r="V165" s="84"/>
    </row>
    <row r="166" spans="2:22" x14ac:dyDescent="0.25">
      <c r="B166" s="68" t="str">
        <f ca="1">IFERROR(INDEX('Points Lookup'!$A:$A,MATCH($AA168,'Points Lookup'!$AN:$AN,0)),"")</f>
        <v/>
      </c>
      <c r="C166" s="81" t="str">
        <f ca="1">IF(B166="","",IF($B$2="Apprenticeship",SUMIF('Points Lookup'!$AJ:$AJ,B166,'Points Lookup'!$AL:$AL),IF(AND(OR($B$2="New Consultant Contract"),$B166&lt;&gt;""),INDEX('Points Lookup'!$T:$T,MATCH($B166,'Points Lookup'!$S:$S,0)),IF(AND(OR($B$2="Clinical Lecturer / Medical Research Fellow",$B$2="Clinical Consultant - Old Contract (GP)"),$B166&lt;&gt;""),INDEX('Points Lookup'!$Q:$Q,MATCH($B166,'Points Lookup'!$P:$P,0)),IF(AND(OR($B$2="APM Level 7",$B$2="R&amp;T Level 7",$B$2="APM Level 8",$B$2="Technical Services Level 7"),B166&lt;&gt;""),INDEX('Points Lookup'!$H:$H,MATCH($AA166,'Points Lookup'!$AN:$AN,0)),IF($B$2="R&amp;T Level 5 - Clinical Lecturers (Vet School)",SUMIF('Points Lookup'!$V:$V,$B166,'Points Lookup'!$Y:$Y),IF($B$2="R&amp;T Level 6 - Clinical Associate Professors and Clinical Readers (Vet School)",SUMIF('Points Lookup'!$AC:$AC,$B166,'Points Lookup'!$AF:$AF),IFERROR(INDEX('Points Lookup'!$B:$B,MATCH($AA166,'Points Lookup'!$AN:$AN,0)),""))))))))</f>
        <v/>
      </c>
      <c r="D166" s="81"/>
      <c r="E166" s="81"/>
      <c r="F166" s="81" t="str">
        <f ca="1">IF($B166="","",IF(AND($B$2="Salary Points 3 to 57",B166&lt;Thresholds_Rates!$C$16),"-",IF(SUMIF(Grades!$A:$A,$B$2,Grades!$BO:$BO)=0,"-",IF(AND($B$2="Salary Points 3 to 57",B166&gt;=Thresholds_Rates!$C$16),$C166*Thresholds_Rates!$F$15,IF(AND(OR($B$2="New Consultant Contract"),$B166&lt;&gt;""),$C166*Thresholds_Rates!$F$15,IF(AND(OR($B$2="Clinical Lecturer / Medical Research Fellow",$B$2="Clinical Consultant - Old Contract (GP)"),$B166&lt;&gt;""),$C166*Thresholds_Rates!$F$15,IF(OR($B$2="APM Level 7",$B$2="R&amp;T Level 7"),$C166*Thresholds_Rates!$F$15,IF(SUMIF(Grades!$A:$A,$B$2,Grades!$BO:$BO)=1,$C166*Thresholds_Rates!$F$15,""))))))))</f>
        <v/>
      </c>
      <c r="G166" s="81" t="str">
        <f ca="1">IF(B166="","",IF($B$2="Salary Points 1 to 57","-",IF(SUMIF(Grades!$A:$A,$B$2,Grades!$BP:$BP)=0,"-",IF(AND(OR($B$2="New Consultant Contract"),$B166&lt;&gt;""),$C166*Thresholds_Rates!$F$16,IF(AND(OR($B$2="Clinical Lecturer / Medical Research Fellow",$B$2="Clinical Consultant - Old Contract (GP)"),$B166&lt;&gt;""),$C166*Thresholds_Rates!$F$16,IF(AND(OR($B$2="APM Level 7",$B$2="R&amp;T Level 7"),F166&lt;&gt;""),$C166*Thresholds_Rates!$F$16,IF(SUMIF(Grades!$A:$A,$B$2,Grades!$BP:$BP)=1,$C166*Thresholds_Rates!$F$16,"")))))))</f>
        <v/>
      </c>
      <c r="H166" s="81" t="str">
        <f ca="1">IF(B166="","",IF(SUMIF(Grades!$A:$A,$B$2,Grades!$BQ:$BQ)=0,"-",IF(AND($B$2="Salary Points 1 to 57",B166&gt;Thresholds_Rates!$C$17),"-",IF(AND($B$2="Salary Points 1 to 57",B166&lt;=Thresholds_Rates!$C$17),$C166*Thresholds_Rates!$F$17,IF(AND(OR($B$2="New Consultant Contract"),$B166&lt;&gt;""),$C166*Thresholds_Rates!$F$17,IF(AND(OR($B$2="Clinical Lecturer / Medical Research Fellow",$B$2="Clinical Consultant - Old Contract (GP)"),$B166&lt;&gt;""),$C166*Thresholds_Rates!$F$17,IF(AND(OR($B$2="APM Level 7",$B$2="R&amp;T Level 7"),G166&lt;&gt;""),$C166*Thresholds_Rates!$F$17,IF(SUMIF(Grades!$A:$A,$B$2,Grades!$BQ:$BQ)=1,$C166*Thresholds_Rates!$F$17,""))))))))</f>
        <v/>
      </c>
      <c r="I166" s="81"/>
      <c r="J166" s="81" t="str">
        <f ca="1">IF(B166="","",(C166*Thresholds_Rates!$C$12))</f>
        <v/>
      </c>
      <c r="K166" s="81"/>
      <c r="L166" s="68"/>
      <c r="M166" s="81" t="str">
        <f t="shared" ca="1" si="12"/>
        <v/>
      </c>
      <c r="N166" s="81" t="str">
        <f t="shared" ca="1" si="13"/>
        <v/>
      </c>
      <c r="O166" s="81" t="str">
        <f t="shared" ca="1" si="14"/>
        <v/>
      </c>
      <c r="P166" s="81" t="str">
        <f t="shared" ca="1" si="15"/>
        <v/>
      </c>
      <c r="Q166" s="81" t="str">
        <f t="shared" ca="1" si="16"/>
        <v/>
      </c>
      <c r="S166" s="83"/>
      <c r="T166" s="84"/>
      <c r="U166" s="83"/>
      <c r="V166" s="84"/>
    </row>
    <row r="167" spans="2:22" x14ac:dyDescent="0.25">
      <c r="B167" s="68" t="str">
        <f ca="1">IFERROR(INDEX('Points Lookup'!$A:$A,MATCH($AA169,'Points Lookup'!$AN:$AN,0)),"")</f>
        <v/>
      </c>
      <c r="C167" s="81" t="str">
        <f ca="1">IF(B167="","",IF($B$2="Apprenticeship",SUMIF('Points Lookup'!$AJ:$AJ,B167,'Points Lookup'!$AL:$AL),IF(AND(OR($B$2="New Consultant Contract"),$B167&lt;&gt;""),INDEX('Points Lookup'!$T:$T,MATCH($B167,'Points Lookup'!$S:$S,0)),IF(AND(OR($B$2="Clinical Lecturer / Medical Research Fellow",$B$2="Clinical Consultant - Old Contract (GP)"),$B167&lt;&gt;""),INDEX('Points Lookup'!$Q:$Q,MATCH($B167,'Points Lookup'!$P:$P,0)),IF(AND(OR($B$2="APM Level 7",$B$2="R&amp;T Level 7",$B$2="APM Level 8",$B$2="Technical Services Level 7"),B167&lt;&gt;""),INDEX('Points Lookup'!$H:$H,MATCH($AA167,'Points Lookup'!$AN:$AN,0)),IF($B$2="R&amp;T Level 5 - Clinical Lecturers (Vet School)",SUMIF('Points Lookup'!$V:$V,$B167,'Points Lookup'!$Y:$Y),IF($B$2="R&amp;T Level 6 - Clinical Associate Professors and Clinical Readers (Vet School)",SUMIF('Points Lookup'!$AC:$AC,$B167,'Points Lookup'!$AF:$AF),IFERROR(INDEX('Points Lookup'!$B:$B,MATCH($AA167,'Points Lookup'!$AN:$AN,0)),""))))))))</f>
        <v/>
      </c>
      <c r="D167" s="81"/>
      <c r="E167" s="81"/>
      <c r="F167" s="81" t="str">
        <f ca="1">IF($B167="","",IF(AND($B$2="Salary Points 3 to 57",B167&lt;Thresholds_Rates!$C$16),"-",IF(SUMIF(Grades!$A:$A,$B$2,Grades!$BO:$BO)=0,"-",IF(AND($B$2="Salary Points 3 to 57",B167&gt;=Thresholds_Rates!$C$16),$C167*Thresholds_Rates!$F$15,IF(AND(OR($B$2="New Consultant Contract"),$B167&lt;&gt;""),$C167*Thresholds_Rates!$F$15,IF(AND(OR($B$2="Clinical Lecturer / Medical Research Fellow",$B$2="Clinical Consultant - Old Contract (GP)"),$B167&lt;&gt;""),$C167*Thresholds_Rates!$F$15,IF(OR($B$2="APM Level 7",$B$2="R&amp;T Level 7"),$C167*Thresholds_Rates!$F$15,IF(SUMIF(Grades!$A:$A,$B$2,Grades!$BO:$BO)=1,$C167*Thresholds_Rates!$F$15,""))))))))</f>
        <v/>
      </c>
      <c r="G167" s="81" t="str">
        <f ca="1">IF(B167="","",IF($B$2="Salary Points 1 to 57","-",IF(SUMIF(Grades!$A:$A,$B$2,Grades!$BP:$BP)=0,"-",IF(AND(OR($B$2="New Consultant Contract"),$B167&lt;&gt;""),$C167*Thresholds_Rates!$F$16,IF(AND(OR($B$2="Clinical Lecturer / Medical Research Fellow",$B$2="Clinical Consultant - Old Contract (GP)"),$B167&lt;&gt;""),$C167*Thresholds_Rates!$F$16,IF(AND(OR($B$2="APM Level 7",$B$2="R&amp;T Level 7"),F167&lt;&gt;""),$C167*Thresholds_Rates!$F$16,IF(SUMIF(Grades!$A:$A,$B$2,Grades!$BP:$BP)=1,$C167*Thresholds_Rates!$F$16,"")))))))</f>
        <v/>
      </c>
      <c r="H167" s="81" t="str">
        <f ca="1">IF(B167="","",IF(SUMIF(Grades!$A:$A,$B$2,Grades!$BQ:$BQ)=0,"-",IF(AND($B$2="Salary Points 1 to 57",B167&gt;Thresholds_Rates!$C$17),"-",IF(AND($B$2="Salary Points 1 to 57",B167&lt;=Thresholds_Rates!$C$17),$C167*Thresholds_Rates!$F$17,IF(AND(OR($B$2="New Consultant Contract"),$B167&lt;&gt;""),$C167*Thresholds_Rates!$F$17,IF(AND(OR($B$2="Clinical Lecturer / Medical Research Fellow",$B$2="Clinical Consultant - Old Contract (GP)"),$B167&lt;&gt;""),$C167*Thresholds_Rates!$F$17,IF(AND(OR($B$2="APM Level 7",$B$2="R&amp;T Level 7"),G167&lt;&gt;""),$C167*Thresholds_Rates!$F$17,IF(SUMIF(Grades!$A:$A,$B$2,Grades!$BQ:$BQ)=1,$C167*Thresholds_Rates!$F$17,""))))))))</f>
        <v/>
      </c>
      <c r="I167" s="81"/>
      <c r="J167" s="81" t="str">
        <f ca="1">IF(B167="","",(C167*Thresholds_Rates!$C$12))</f>
        <v/>
      </c>
      <c r="K167" s="81"/>
      <c r="L167" s="68"/>
      <c r="M167" s="81" t="str">
        <f t="shared" ca="1" si="12"/>
        <v/>
      </c>
      <c r="N167" s="81" t="str">
        <f t="shared" ca="1" si="13"/>
        <v/>
      </c>
      <c r="O167" s="81" t="str">
        <f t="shared" ca="1" si="14"/>
        <v/>
      </c>
      <c r="P167" s="81" t="str">
        <f t="shared" ca="1" si="15"/>
        <v/>
      </c>
      <c r="Q167" s="81" t="str">
        <f t="shared" ca="1" si="16"/>
        <v/>
      </c>
      <c r="S167" s="83"/>
      <c r="T167" s="84"/>
      <c r="U167" s="83"/>
      <c r="V167" s="84"/>
    </row>
    <row r="168" spans="2:22" x14ac:dyDescent="0.25">
      <c r="B168" s="68" t="str">
        <f ca="1">IFERROR(INDEX('Points Lookup'!$A:$A,MATCH($AA170,'Points Lookup'!$AN:$AN,0)),"")</f>
        <v/>
      </c>
      <c r="C168" s="81" t="str">
        <f ca="1">IF(B168="","",IF($B$2="Apprenticeship",SUMIF('Points Lookup'!$AJ:$AJ,B168,'Points Lookup'!$AL:$AL),IF(AND(OR($B$2="New Consultant Contract"),$B168&lt;&gt;""),INDEX('Points Lookup'!$T:$T,MATCH($B168,'Points Lookup'!$S:$S,0)),IF(AND(OR($B$2="Clinical Lecturer / Medical Research Fellow",$B$2="Clinical Consultant - Old Contract (GP)"),$B168&lt;&gt;""),INDEX('Points Lookup'!$Q:$Q,MATCH($B168,'Points Lookup'!$P:$P,0)),IF(AND(OR($B$2="APM Level 7",$B$2="R&amp;T Level 7",$B$2="APM Level 8",$B$2="Technical Services Level 7"),B168&lt;&gt;""),INDEX('Points Lookup'!$H:$H,MATCH($AA168,'Points Lookup'!$AN:$AN,0)),IF($B$2="R&amp;T Level 5 - Clinical Lecturers (Vet School)",SUMIF('Points Lookup'!$V:$V,$B168,'Points Lookup'!$Y:$Y),IF($B$2="R&amp;T Level 6 - Clinical Associate Professors and Clinical Readers (Vet School)",SUMIF('Points Lookup'!$AC:$AC,$B168,'Points Lookup'!$AF:$AF),IFERROR(INDEX('Points Lookup'!$B:$B,MATCH($AA168,'Points Lookup'!$AN:$AN,0)),""))))))))</f>
        <v/>
      </c>
      <c r="D168" s="81"/>
      <c r="E168" s="81"/>
      <c r="F168" s="81" t="str">
        <f ca="1">IF($B168="","",IF(AND($B$2="Salary Points 3 to 57",B168&lt;Thresholds_Rates!$C$16),"-",IF(SUMIF(Grades!$A:$A,$B$2,Grades!$BO:$BO)=0,"-",IF(AND($B$2="Salary Points 3 to 57",B168&gt;=Thresholds_Rates!$C$16),$C168*Thresholds_Rates!$F$15,IF(AND(OR($B$2="New Consultant Contract"),$B168&lt;&gt;""),$C168*Thresholds_Rates!$F$15,IF(AND(OR($B$2="Clinical Lecturer / Medical Research Fellow",$B$2="Clinical Consultant - Old Contract (GP)"),$B168&lt;&gt;""),$C168*Thresholds_Rates!$F$15,IF(OR($B$2="APM Level 7",$B$2="R&amp;T Level 7"),$C168*Thresholds_Rates!$F$15,IF(SUMIF(Grades!$A:$A,$B$2,Grades!$BO:$BO)=1,$C168*Thresholds_Rates!$F$15,""))))))))</f>
        <v/>
      </c>
      <c r="G168" s="81" t="str">
        <f ca="1">IF(B168="","",IF($B$2="Salary Points 1 to 57","-",IF(SUMIF(Grades!$A:$A,$B$2,Grades!$BP:$BP)=0,"-",IF(AND(OR($B$2="New Consultant Contract"),$B168&lt;&gt;""),$C168*Thresholds_Rates!$F$16,IF(AND(OR($B$2="Clinical Lecturer / Medical Research Fellow",$B$2="Clinical Consultant - Old Contract (GP)"),$B168&lt;&gt;""),$C168*Thresholds_Rates!$F$16,IF(AND(OR($B$2="APM Level 7",$B$2="R&amp;T Level 7"),F168&lt;&gt;""),$C168*Thresholds_Rates!$F$16,IF(SUMIF(Grades!$A:$A,$B$2,Grades!$BP:$BP)=1,$C168*Thresholds_Rates!$F$16,"")))))))</f>
        <v/>
      </c>
      <c r="H168" s="81" t="str">
        <f ca="1">IF(B168="","",IF(SUMIF(Grades!$A:$A,$B$2,Grades!$BQ:$BQ)=0,"-",IF(AND($B$2="Salary Points 1 to 57",B168&gt;Thresholds_Rates!$C$17),"-",IF(AND($B$2="Salary Points 1 to 57",B168&lt;=Thresholds_Rates!$C$17),$C168*Thresholds_Rates!$F$17,IF(AND(OR($B$2="New Consultant Contract"),$B168&lt;&gt;""),$C168*Thresholds_Rates!$F$17,IF(AND(OR($B$2="Clinical Lecturer / Medical Research Fellow",$B$2="Clinical Consultant - Old Contract (GP)"),$B168&lt;&gt;""),$C168*Thresholds_Rates!$F$17,IF(AND(OR($B$2="APM Level 7",$B$2="R&amp;T Level 7"),G168&lt;&gt;""),$C168*Thresholds_Rates!$F$17,IF(SUMIF(Grades!$A:$A,$B$2,Grades!$BQ:$BQ)=1,$C168*Thresholds_Rates!$F$17,""))))))))</f>
        <v/>
      </c>
      <c r="I168" s="81"/>
      <c r="J168" s="81" t="str">
        <f ca="1">IF(B168="","",(C168*Thresholds_Rates!$C$12))</f>
        <v/>
      </c>
      <c r="K168" s="81"/>
      <c r="L168" s="68"/>
      <c r="M168" s="81" t="str">
        <f t="shared" ca="1" si="12"/>
        <v/>
      </c>
      <c r="N168" s="81" t="str">
        <f t="shared" ca="1" si="13"/>
        <v/>
      </c>
      <c r="O168" s="81" t="str">
        <f t="shared" ca="1" si="14"/>
        <v/>
      </c>
      <c r="P168" s="81" t="str">
        <f t="shared" ca="1" si="15"/>
        <v/>
      </c>
      <c r="Q168" s="81" t="str">
        <f t="shared" ca="1" si="16"/>
        <v/>
      </c>
      <c r="S168" s="83"/>
      <c r="T168" s="84"/>
      <c r="U168" s="83"/>
      <c r="V168" s="84"/>
    </row>
    <row r="169" spans="2:22" x14ac:dyDescent="0.25">
      <c r="B169" s="68" t="str">
        <f ca="1">IFERROR(INDEX('Points Lookup'!$A:$A,MATCH($AA171,'Points Lookup'!$AN:$AN,0)),"")</f>
        <v/>
      </c>
      <c r="C169" s="81" t="str">
        <f ca="1">IF(B169="","",IF($B$2="Apprenticeship",SUMIF('Points Lookup'!$AJ:$AJ,B169,'Points Lookup'!$AL:$AL),IF(AND(OR($B$2="New Consultant Contract"),$B169&lt;&gt;""),INDEX('Points Lookup'!$T:$T,MATCH($B169,'Points Lookup'!$S:$S,0)),IF(AND(OR($B$2="Clinical Lecturer / Medical Research Fellow",$B$2="Clinical Consultant - Old Contract (GP)"),$B169&lt;&gt;""),INDEX('Points Lookup'!$Q:$Q,MATCH($B169,'Points Lookup'!$P:$P,0)),IF(AND(OR($B$2="APM Level 7",$B$2="R&amp;T Level 7",$B$2="APM Level 8",$B$2="Technical Services Level 7"),B169&lt;&gt;""),INDEX('Points Lookup'!$H:$H,MATCH($AA169,'Points Lookup'!$AN:$AN,0)),IF($B$2="R&amp;T Level 5 - Clinical Lecturers (Vet School)",SUMIF('Points Lookup'!$V:$V,$B169,'Points Lookup'!$Y:$Y),IF($B$2="R&amp;T Level 6 - Clinical Associate Professors and Clinical Readers (Vet School)",SUMIF('Points Lookup'!$AC:$AC,$B169,'Points Lookup'!$AF:$AF),IFERROR(INDEX('Points Lookup'!$B:$B,MATCH($AA169,'Points Lookup'!$AN:$AN,0)),""))))))))</f>
        <v/>
      </c>
      <c r="D169" s="81"/>
      <c r="E169" s="81"/>
      <c r="F169" s="81" t="str">
        <f ca="1">IF($B169="","",IF(AND($B$2="Salary Points 3 to 57",B169&lt;Thresholds_Rates!$C$16),"-",IF(SUMIF(Grades!$A:$A,$B$2,Grades!$BO:$BO)=0,"-",IF(AND($B$2="Salary Points 3 to 57",B169&gt;=Thresholds_Rates!$C$16),$C169*Thresholds_Rates!$F$15,IF(AND(OR($B$2="New Consultant Contract"),$B169&lt;&gt;""),$C169*Thresholds_Rates!$F$15,IF(AND(OR($B$2="Clinical Lecturer / Medical Research Fellow",$B$2="Clinical Consultant - Old Contract (GP)"),$B169&lt;&gt;""),$C169*Thresholds_Rates!$F$15,IF(OR($B$2="APM Level 7",$B$2="R&amp;T Level 7"),$C169*Thresholds_Rates!$F$15,IF(SUMIF(Grades!$A:$A,$B$2,Grades!$BO:$BO)=1,$C169*Thresholds_Rates!$F$15,""))))))))</f>
        <v/>
      </c>
      <c r="G169" s="81" t="str">
        <f ca="1">IF(B169="","",IF($B$2="Salary Points 1 to 57","-",IF(SUMIF(Grades!$A:$A,$B$2,Grades!$BP:$BP)=0,"-",IF(AND(OR($B$2="New Consultant Contract"),$B169&lt;&gt;""),$C169*Thresholds_Rates!$F$16,IF(AND(OR($B$2="Clinical Lecturer / Medical Research Fellow",$B$2="Clinical Consultant - Old Contract (GP)"),$B169&lt;&gt;""),$C169*Thresholds_Rates!$F$16,IF(AND(OR($B$2="APM Level 7",$B$2="R&amp;T Level 7"),F169&lt;&gt;""),$C169*Thresholds_Rates!$F$16,IF(SUMIF(Grades!$A:$A,$B$2,Grades!$BP:$BP)=1,$C169*Thresholds_Rates!$F$16,"")))))))</f>
        <v/>
      </c>
      <c r="H169" s="81" t="str">
        <f ca="1">IF(B169="","",IF(SUMIF(Grades!$A:$A,$B$2,Grades!$BQ:$BQ)=0,"-",IF(AND($B$2="Salary Points 1 to 57",B169&gt;Thresholds_Rates!$C$17),"-",IF(AND($B$2="Salary Points 1 to 57",B169&lt;=Thresholds_Rates!$C$17),$C169*Thresholds_Rates!$F$17,IF(AND(OR($B$2="New Consultant Contract"),$B169&lt;&gt;""),$C169*Thresholds_Rates!$F$17,IF(AND(OR($B$2="Clinical Lecturer / Medical Research Fellow",$B$2="Clinical Consultant - Old Contract (GP)"),$B169&lt;&gt;""),$C169*Thresholds_Rates!$F$17,IF(AND(OR($B$2="APM Level 7",$B$2="R&amp;T Level 7"),G169&lt;&gt;""),$C169*Thresholds_Rates!$F$17,IF(SUMIF(Grades!$A:$A,$B$2,Grades!$BQ:$BQ)=1,$C169*Thresholds_Rates!$F$17,""))))))))</f>
        <v/>
      </c>
      <c r="I169" s="81"/>
      <c r="J169" s="81" t="str">
        <f ca="1">IF(B169="","",(C169*Thresholds_Rates!$C$12))</f>
        <v/>
      </c>
      <c r="K169" s="81"/>
      <c r="L169" s="68"/>
      <c r="M169" s="81" t="str">
        <f t="shared" ca="1" si="12"/>
        <v/>
      </c>
      <c r="N169" s="81" t="str">
        <f t="shared" ca="1" si="13"/>
        <v/>
      </c>
      <c r="O169" s="81" t="str">
        <f t="shared" ca="1" si="14"/>
        <v/>
      </c>
      <c r="P169" s="81" t="str">
        <f t="shared" ca="1" si="15"/>
        <v/>
      </c>
      <c r="Q169" s="81" t="str">
        <f t="shared" ca="1" si="16"/>
        <v/>
      </c>
      <c r="S169" s="83"/>
      <c r="T169" s="84"/>
      <c r="U169" s="83"/>
      <c r="V169" s="84"/>
    </row>
    <row r="170" spans="2:22" x14ac:dyDescent="0.25">
      <c r="B170" s="68" t="str">
        <f ca="1">IFERROR(INDEX('Points Lookup'!$A:$A,MATCH($AA172,'Points Lookup'!$AN:$AN,0)),"")</f>
        <v/>
      </c>
      <c r="C170" s="81" t="str">
        <f ca="1">IF(B170="","",IF($B$2="Apprenticeship",SUMIF('Points Lookup'!$AJ:$AJ,B170,'Points Lookup'!$AL:$AL),IF(AND(OR($B$2="New Consultant Contract"),$B170&lt;&gt;""),INDEX('Points Lookup'!$T:$T,MATCH($B170,'Points Lookup'!$S:$S,0)),IF(AND(OR($B$2="Clinical Lecturer / Medical Research Fellow",$B$2="Clinical Consultant - Old Contract (GP)"),$B170&lt;&gt;""),INDEX('Points Lookup'!$Q:$Q,MATCH($B170,'Points Lookup'!$P:$P,0)),IF(AND(OR($B$2="APM Level 7",$B$2="R&amp;T Level 7",$B$2="APM Level 8",$B$2="Technical Services Level 7"),B170&lt;&gt;""),INDEX('Points Lookup'!$H:$H,MATCH($AA170,'Points Lookup'!$AN:$AN,0)),IF($B$2="R&amp;T Level 5 - Clinical Lecturers (Vet School)",SUMIF('Points Lookup'!$V:$V,$B170,'Points Lookup'!$Y:$Y),IF($B$2="R&amp;T Level 6 - Clinical Associate Professors and Clinical Readers (Vet School)",SUMIF('Points Lookup'!$AC:$AC,$B170,'Points Lookup'!$AF:$AF),IFERROR(INDEX('Points Lookup'!$B:$B,MATCH($AA170,'Points Lookup'!$AN:$AN,0)),""))))))))</f>
        <v/>
      </c>
      <c r="D170" s="81"/>
      <c r="E170" s="81"/>
      <c r="F170" s="81" t="str">
        <f ca="1">IF($B170="","",IF(AND($B$2="Salary Points 3 to 57",B170&lt;Thresholds_Rates!$C$16),"-",IF(SUMIF(Grades!$A:$A,$B$2,Grades!$BO:$BO)=0,"-",IF(AND($B$2="Salary Points 3 to 57",B170&gt;=Thresholds_Rates!$C$16),$C170*Thresholds_Rates!$F$15,IF(AND(OR($B$2="New Consultant Contract"),$B170&lt;&gt;""),$C170*Thresholds_Rates!$F$15,IF(AND(OR($B$2="Clinical Lecturer / Medical Research Fellow",$B$2="Clinical Consultant - Old Contract (GP)"),$B170&lt;&gt;""),$C170*Thresholds_Rates!$F$15,IF(OR($B$2="APM Level 7",$B$2="R&amp;T Level 7"),$C170*Thresholds_Rates!$F$15,IF(SUMIF(Grades!$A:$A,$B$2,Grades!$BO:$BO)=1,$C170*Thresholds_Rates!$F$15,""))))))))</f>
        <v/>
      </c>
      <c r="G170" s="81" t="str">
        <f ca="1">IF(B170="","",IF($B$2="Salary Points 1 to 57","-",IF(SUMIF(Grades!$A:$A,$B$2,Grades!$BP:$BP)=0,"-",IF(AND(OR($B$2="New Consultant Contract"),$B170&lt;&gt;""),$C170*Thresholds_Rates!$F$16,IF(AND(OR($B$2="Clinical Lecturer / Medical Research Fellow",$B$2="Clinical Consultant - Old Contract (GP)"),$B170&lt;&gt;""),$C170*Thresholds_Rates!$F$16,IF(AND(OR($B$2="APM Level 7",$B$2="R&amp;T Level 7"),F170&lt;&gt;""),$C170*Thresholds_Rates!$F$16,IF(SUMIF(Grades!$A:$A,$B$2,Grades!$BP:$BP)=1,$C170*Thresholds_Rates!$F$16,"")))))))</f>
        <v/>
      </c>
      <c r="H170" s="81" t="str">
        <f ca="1">IF(B170="","",IF(SUMIF(Grades!$A:$A,$B$2,Grades!$BQ:$BQ)=0,"-",IF(AND($B$2="Salary Points 1 to 57",B170&gt;Thresholds_Rates!$C$17),"-",IF(AND($B$2="Salary Points 1 to 57",B170&lt;=Thresholds_Rates!$C$17),$C170*Thresholds_Rates!$F$17,IF(AND(OR($B$2="New Consultant Contract"),$B170&lt;&gt;""),$C170*Thresholds_Rates!$F$17,IF(AND(OR($B$2="Clinical Lecturer / Medical Research Fellow",$B$2="Clinical Consultant - Old Contract (GP)"),$B170&lt;&gt;""),$C170*Thresholds_Rates!$F$17,IF(AND(OR($B$2="APM Level 7",$B$2="R&amp;T Level 7"),G170&lt;&gt;""),$C170*Thresholds_Rates!$F$17,IF(SUMIF(Grades!$A:$A,$B$2,Grades!$BQ:$BQ)=1,$C170*Thresholds_Rates!$F$17,""))))))))</f>
        <v/>
      </c>
      <c r="I170" s="81"/>
      <c r="J170" s="81" t="str">
        <f ca="1">IF(B170="","",(C170*Thresholds_Rates!$C$12))</f>
        <v/>
      </c>
      <c r="K170" s="81"/>
      <c r="L170" s="68"/>
      <c r="M170" s="81" t="str">
        <f t="shared" ca="1" si="12"/>
        <v/>
      </c>
      <c r="N170" s="81" t="str">
        <f t="shared" ca="1" si="13"/>
        <v/>
      </c>
      <c r="O170" s="81" t="str">
        <f t="shared" ca="1" si="14"/>
        <v/>
      </c>
      <c r="P170" s="81" t="str">
        <f t="shared" ca="1" si="15"/>
        <v/>
      </c>
      <c r="Q170" s="81" t="str">
        <f t="shared" ca="1" si="16"/>
        <v/>
      </c>
      <c r="S170" s="83"/>
      <c r="T170" s="84"/>
      <c r="U170" s="83"/>
      <c r="V170" s="84"/>
    </row>
    <row r="171" spans="2:22" x14ac:dyDescent="0.25">
      <c r="B171" s="68" t="str">
        <f ca="1">IFERROR(INDEX('Points Lookup'!$A:$A,MATCH($AA173,'Points Lookup'!$AN:$AN,0)),"")</f>
        <v/>
      </c>
      <c r="C171" s="81" t="str">
        <f ca="1">IF(B171="","",IF($B$2="Apprenticeship",SUMIF('Points Lookup'!$AJ:$AJ,B171,'Points Lookup'!$AL:$AL),IF(AND(OR($B$2="New Consultant Contract"),$B171&lt;&gt;""),INDEX('Points Lookup'!$T:$T,MATCH($B171,'Points Lookup'!$S:$S,0)),IF(AND(OR($B$2="Clinical Lecturer / Medical Research Fellow",$B$2="Clinical Consultant - Old Contract (GP)"),$B171&lt;&gt;""),INDEX('Points Lookup'!$Q:$Q,MATCH($B171,'Points Lookup'!$P:$P,0)),IF(AND(OR($B$2="APM Level 7",$B$2="R&amp;T Level 7",$B$2="APM Level 8",$B$2="Technical Services Level 7"),B171&lt;&gt;""),INDEX('Points Lookup'!$H:$H,MATCH($AA171,'Points Lookup'!$AN:$AN,0)),IF($B$2="R&amp;T Level 5 - Clinical Lecturers (Vet School)",SUMIF('Points Lookup'!$V:$V,$B171,'Points Lookup'!$Y:$Y),IF($B$2="R&amp;T Level 6 - Clinical Associate Professors and Clinical Readers (Vet School)",SUMIF('Points Lookup'!$AC:$AC,$B171,'Points Lookup'!$AF:$AF),IFERROR(INDEX('Points Lookup'!$B:$B,MATCH($AA171,'Points Lookup'!$AN:$AN,0)),""))))))))</f>
        <v/>
      </c>
      <c r="D171" s="81"/>
      <c r="E171" s="81"/>
      <c r="F171" s="81" t="str">
        <f ca="1">IF($B171="","",IF(AND($B$2="Salary Points 3 to 57",B171&lt;Thresholds_Rates!$C$16),"-",IF(SUMIF(Grades!$A:$A,$B$2,Grades!$BO:$BO)=0,"-",IF(AND($B$2="Salary Points 3 to 57",B171&gt;=Thresholds_Rates!$C$16),$C171*Thresholds_Rates!$F$15,IF(AND(OR($B$2="New Consultant Contract"),$B171&lt;&gt;""),$C171*Thresholds_Rates!$F$15,IF(AND(OR($B$2="Clinical Lecturer / Medical Research Fellow",$B$2="Clinical Consultant - Old Contract (GP)"),$B171&lt;&gt;""),$C171*Thresholds_Rates!$F$15,IF(OR($B$2="APM Level 7",$B$2="R&amp;T Level 7"),$C171*Thresholds_Rates!$F$15,IF(SUMIF(Grades!$A:$A,$B$2,Grades!$BO:$BO)=1,$C171*Thresholds_Rates!$F$15,""))))))))</f>
        <v/>
      </c>
      <c r="G171" s="81" t="str">
        <f ca="1">IF(B171="","",IF($B$2="Salary Points 1 to 57","-",IF(SUMIF(Grades!$A:$A,$B$2,Grades!$BP:$BP)=0,"-",IF(AND(OR($B$2="New Consultant Contract"),$B171&lt;&gt;""),$C171*Thresholds_Rates!$F$16,IF(AND(OR($B$2="Clinical Lecturer / Medical Research Fellow",$B$2="Clinical Consultant - Old Contract (GP)"),$B171&lt;&gt;""),$C171*Thresholds_Rates!$F$16,IF(AND(OR($B$2="APM Level 7",$B$2="R&amp;T Level 7"),F171&lt;&gt;""),$C171*Thresholds_Rates!$F$16,IF(SUMIF(Grades!$A:$A,$B$2,Grades!$BP:$BP)=1,$C171*Thresholds_Rates!$F$16,"")))))))</f>
        <v/>
      </c>
      <c r="H171" s="81" t="str">
        <f ca="1">IF(B171="","",IF(SUMIF(Grades!$A:$A,$B$2,Grades!$BQ:$BQ)=0,"-",IF(AND($B$2="Salary Points 1 to 57",B171&gt;Thresholds_Rates!$C$17),"-",IF(AND($B$2="Salary Points 1 to 57",B171&lt;=Thresholds_Rates!$C$17),$C171*Thresholds_Rates!$F$17,IF(AND(OR($B$2="New Consultant Contract"),$B171&lt;&gt;""),$C171*Thresholds_Rates!$F$17,IF(AND(OR($B$2="Clinical Lecturer / Medical Research Fellow",$B$2="Clinical Consultant - Old Contract (GP)"),$B171&lt;&gt;""),$C171*Thresholds_Rates!$F$17,IF(AND(OR($B$2="APM Level 7",$B$2="R&amp;T Level 7"),G171&lt;&gt;""),$C171*Thresholds_Rates!$F$17,IF(SUMIF(Grades!$A:$A,$B$2,Grades!$BQ:$BQ)=1,$C171*Thresholds_Rates!$F$17,""))))))))</f>
        <v/>
      </c>
      <c r="I171" s="81"/>
      <c r="J171" s="81" t="str">
        <f ca="1">IF(B171="","",(C171*Thresholds_Rates!$C$12))</f>
        <v/>
      </c>
      <c r="K171" s="81"/>
      <c r="L171" s="68"/>
      <c r="M171" s="81" t="str">
        <f t="shared" ca="1" si="12"/>
        <v/>
      </c>
      <c r="N171" s="81" t="str">
        <f t="shared" ca="1" si="13"/>
        <v/>
      </c>
      <c r="O171" s="81" t="str">
        <f t="shared" ca="1" si="14"/>
        <v/>
      </c>
      <c r="P171" s="81" t="str">
        <f t="shared" ca="1" si="15"/>
        <v/>
      </c>
      <c r="Q171" s="81" t="str">
        <f t="shared" ca="1" si="16"/>
        <v/>
      </c>
      <c r="S171" s="83"/>
      <c r="T171" s="84"/>
      <c r="U171" s="83"/>
      <c r="V171" s="84"/>
    </row>
    <row r="172" spans="2:22" x14ac:dyDescent="0.25">
      <c r="F172" s="81" t="str">
        <f>IF($B172="","",IF(AND($B$2="Salary Points 3 to 57",B172&lt;Thresholds_Rates!$C$16),"-",IF(SUMIF(Grades!$A:$A,$B$2,Grades!$BO:$BO)=0,"-",IF(AND($B$2="Salary Points 3 to 57",B172&gt;=Thresholds_Rates!$C$16),$C172*Thresholds_Rates!$F$15,IF(AND(OR($B$2="New Consultant Contract"),$B172&lt;&gt;""),$C172*Thresholds_Rates!$F$15,IF(AND(OR($B$2="Clinical Lecturer / Medical Research Fellow",$B$2="Clinical Consultant - Old Contract (GP)"),$B172&lt;&gt;""),$C172*Thresholds_Rates!$F$15,IF(OR($B$2="APM Level 7",$B$2="R&amp;T Level 7"),$C172*Thresholds_Rates!$F$15,IF(SUMIF(Grades!$A:$A,$B$2,Grades!$BO:$BO)=1,$C172*Thresholds_Rates!$F$15,""))))))))</f>
        <v/>
      </c>
      <c r="M172" s="81" t="str">
        <f t="shared" ref="M172:M235" si="17">IF(B172="","",IF(F172="-","-",$C172+$I172+F172))</f>
        <v/>
      </c>
      <c r="N172" s="81" t="str">
        <f t="shared" ref="N172:N235" si="18">IF(B172="","",IF(G172="-","-",$C172+$I172+G172))</f>
        <v/>
      </c>
      <c r="O172" s="81" t="str">
        <f t="shared" ref="O172:O235" si="19">IF(B172="","",IF(H172="-","-",$C172+$I172+H172))</f>
        <v/>
      </c>
      <c r="P172" s="81" t="str">
        <f t="shared" ref="P172:P235" si="20">IF(B172="","",IF(K172="-","-",$C172+$I172+K172))</f>
        <v/>
      </c>
      <c r="Q172" s="81" t="str">
        <f t="shared" ref="Q172:Q235" si="21">IF(B172="","",C172+I172)</f>
        <v/>
      </c>
    </row>
    <row r="173" spans="2:22" x14ac:dyDescent="0.25">
      <c r="F173" s="81" t="str">
        <f>IF($B173="","",IF(AND($B$2="Salary Points 3 to 57",B173&lt;Thresholds_Rates!$C$16),"-",IF(SUMIF(Grades!$A:$A,$B$2,Grades!$BO:$BO)=0,"-",IF(AND($B$2="Salary Points 3 to 57",B173&gt;=Thresholds_Rates!$C$16),$C173*Thresholds_Rates!$F$15,IF(AND(OR($B$2="New Consultant Contract"),$B173&lt;&gt;""),$C173*Thresholds_Rates!$F$15,IF(AND(OR($B$2="Clinical Lecturer / Medical Research Fellow",$B$2="Clinical Consultant - Old Contract (GP)"),$B173&lt;&gt;""),$C173*Thresholds_Rates!$F$15,IF(OR($B$2="APM Level 7",$B$2="R&amp;T Level 7"),$C173*Thresholds_Rates!$F$15,IF(SUMIF(Grades!$A:$A,$B$2,Grades!$BO:$BO)=1,$C173*Thresholds_Rates!$F$15,""))))))))</f>
        <v/>
      </c>
      <c r="M173" s="81" t="str">
        <f t="shared" si="17"/>
        <v/>
      </c>
      <c r="N173" s="81" t="str">
        <f t="shared" si="18"/>
        <v/>
      </c>
      <c r="O173" s="81" t="str">
        <f t="shared" si="19"/>
        <v/>
      </c>
      <c r="P173" s="81" t="str">
        <f t="shared" si="20"/>
        <v/>
      </c>
      <c r="Q173" s="81" t="str">
        <f t="shared" si="21"/>
        <v/>
      </c>
    </row>
    <row r="174" spans="2:22" x14ac:dyDescent="0.25">
      <c r="F174" s="81" t="str">
        <f>IF($B174="","",IF(AND($B$2="Salary Points 3 to 57",B174&lt;Thresholds_Rates!$C$16),"-",IF(SUMIF(Grades!$A:$A,$B$2,Grades!$BO:$BO)=0,"-",IF(AND($B$2="Salary Points 3 to 57",B174&gt;=Thresholds_Rates!$C$16),$C174*Thresholds_Rates!$F$15,IF(AND(OR($B$2="New Consultant Contract"),$B174&lt;&gt;""),$C174*Thresholds_Rates!$F$15,IF(AND(OR($B$2="Clinical Lecturer / Medical Research Fellow",$B$2="Clinical Consultant - Old Contract (GP)"),$B174&lt;&gt;""),$C174*Thresholds_Rates!$F$15,IF(OR($B$2="APM Level 7",$B$2="R&amp;T Level 7"),$C174*Thresholds_Rates!$F$15,IF(SUMIF(Grades!$A:$A,$B$2,Grades!$BO:$BO)=1,$C174*Thresholds_Rates!$F$15,""))))))))</f>
        <v/>
      </c>
      <c r="M174" s="81" t="str">
        <f t="shared" si="17"/>
        <v/>
      </c>
      <c r="N174" s="81" t="str">
        <f t="shared" si="18"/>
        <v/>
      </c>
      <c r="O174" s="81" t="str">
        <f t="shared" si="19"/>
        <v/>
      </c>
      <c r="P174" s="81" t="str">
        <f t="shared" si="20"/>
        <v/>
      </c>
      <c r="Q174" s="81" t="str">
        <f t="shared" si="21"/>
        <v/>
      </c>
    </row>
    <row r="175" spans="2:22" x14ac:dyDescent="0.25">
      <c r="F175" s="81" t="str">
        <f>IF($B175="","",IF(AND($B$2="Salary Points 3 to 57",B175&lt;Thresholds_Rates!$C$16),"-",IF(SUMIF(Grades!$A:$A,$B$2,Grades!$BO:$BO)=0,"-",IF(AND($B$2="Salary Points 3 to 57",B175&gt;=Thresholds_Rates!$C$16),$C175*Thresholds_Rates!$F$15,IF(AND(OR($B$2="New Consultant Contract"),$B175&lt;&gt;""),$C175*Thresholds_Rates!$F$15,IF(AND(OR($B$2="Clinical Lecturer / Medical Research Fellow",$B$2="Clinical Consultant - Old Contract (GP)"),$B175&lt;&gt;""),$C175*Thresholds_Rates!$F$15,IF(OR($B$2="APM Level 7",$B$2="R&amp;T Level 7"),$C175*Thresholds_Rates!$F$15,IF(SUMIF(Grades!$A:$A,$B$2,Grades!$BO:$BO)=1,$C175*Thresholds_Rates!$F$15,""))))))))</f>
        <v/>
      </c>
      <c r="M175" s="81" t="str">
        <f t="shared" si="17"/>
        <v/>
      </c>
      <c r="N175" s="81" t="str">
        <f t="shared" si="18"/>
        <v/>
      </c>
      <c r="O175" s="81" t="str">
        <f t="shared" si="19"/>
        <v/>
      </c>
      <c r="P175" s="81" t="str">
        <f t="shared" si="20"/>
        <v/>
      </c>
      <c r="Q175" s="81" t="str">
        <f t="shared" si="21"/>
        <v/>
      </c>
    </row>
    <row r="176" spans="2:22" x14ac:dyDescent="0.25">
      <c r="F176" s="81" t="str">
        <f>IF($B176="","",IF(AND($B$2="Salary Points 3 to 57",B176&lt;Thresholds_Rates!$C$16),"-",IF(SUMIF(Grades!$A:$A,$B$2,Grades!$BO:$BO)=0,"-",IF(AND($B$2="Salary Points 3 to 57",B176&gt;=Thresholds_Rates!$C$16),$C176*Thresholds_Rates!$F$15,IF(AND(OR($B$2="New Consultant Contract"),$B176&lt;&gt;""),$C176*Thresholds_Rates!$F$15,IF(AND(OR($B$2="Clinical Lecturer / Medical Research Fellow",$B$2="Clinical Consultant - Old Contract (GP)"),$B176&lt;&gt;""),$C176*Thresholds_Rates!$F$15,IF(OR($B$2="APM Level 7",$B$2="R&amp;T Level 7"),$C176*Thresholds_Rates!$F$15,IF(SUMIF(Grades!$A:$A,$B$2,Grades!$BO:$BO)=1,$C176*Thresholds_Rates!$F$15,""))))))))</f>
        <v/>
      </c>
      <c r="M176" s="81" t="str">
        <f t="shared" si="17"/>
        <v/>
      </c>
      <c r="N176" s="81" t="str">
        <f t="shared" si="18"/>
        <v/>
      </c>
      <c r="O176" s="81" t="str">
        <f t="shared" si="19"/>
        <v/>
      </c>
      <c r="P176" s="81" t="str">
        <f t="shared" si="20"/>
        <v/>
      </c>
      <c r="Q176" s="81" t="str">
        <f t="shared" si="21"/>
        <v/>
      </c>
    </row>
    <row r="177" spans="6:17" x14ac:dyDescent="0.25">
      <c r="F177" s="81" t="str">
        <f>IF($B177="","",IF(AND($B$2="Salary Points 3 to 57",B177&lt;Thresholds_Rates!$C$16),"-",IF(SUMIF(Grades!$A:$A,$B$2,Grades!$BO:$BO)=0,"-",IF(AND($B$2="Salary Points 3 to 57",B177&gt;=Thresholds_Rates!$C$16),$C177*Thresholds_Rates!$F$15,IF(AND(OR($B$2="New Consultant Contract"),$B177&lt;&gt;""),$C177*Thresholds_Rates!$F$15,IF(AND(OR($B$2="Clinical Lecturer / Medical Research Fellow",$B$2="Clinical Consultant - Old Contract (GP)"),$B177&lt;&gt;""),$C177*Thresholds_Rates!$F$15,IF(OR($B$2="APM Level 7",$B$2="R&amp;T Level 7"),$C177*Thresholds_Rates!$F$15,IF(SUMIF(Grades!$A:$A,$B$2,Grades!$BO:$BO)=1,$C177*Thresholds_Rates!$F$15,""))))))))</f>
        <v/>
      </c>
      <c r="M177" s="81" t="str">
        <f t="shared" si="17"/>
        <v/>
      </c>
      <c r="N177" s="81" t="str">
        <f t="shared" si="18"/>
        <v/>
      </c>
      <c r="O177" s="81" t="str">
        <f t="shared" si="19"/>
        <v/>
      </c>
      <c r="P177" s="81" t="str">
        <f t="shared" si="20"/>
        <v/>
      </c>
      <c r="Q177" s="81" t="str">
        <f t="shared" si="21"/>
        <v/>
      </c>
    </row>
    <row r="178" spans="6:17" x14ac:dyDescent="0.25">
      <c r="F178" s="81" t="str">
        <f>IF($B178="","",IF(AND($B$2="Salary Points 3 to 57",B178&lt;Thresholds_Rates!$C$16),"-",IF(SUMIF(Grades!$A:$A,$B$2,Grades!$BO:$BO)=0,"-",IF(AND($B$2="Salary Points 3 to 57",B178&gt;=Thresholds_Rates!$C$16),$C178*Thresholds_Rates!$F$15,IF(AND(OR($B$2="New Consultant Contract"),$B178&lt;&gt;""),$C178*Thresholds_Rates!$F$15,IF(AND(OR($B$2="Clinical Lecturer / Medical Research Fellow",$B$2="Clinical Consultant - Old Contract (GP)"),$B178&lt;&gt;""),$C178*Thresholds_Rates!$F$15,IF(OR($B$2="APM Level 7",$B$2="R&amp;T Level 7"),$C178*Thresholds_Rates!$F$15,IF(SUMIF(Grades!$A:$A,$B$2,Grades!$BO:$BO)=1,$C178*Thresholds_Rates!$F$15,""))))))))</f>
        <v/>
      </c>
      <c r="M178" s="81" t="str">
        <f t="shared" si="17"/>
        <v/>
      </c>
      <c r="N178" s="81" t="str">
        <f t="shared" si="18"/>
        <v/>
      </c>
      <c r="O178" s="81" t="str">
        <f t="shared" si="19"/>
        <v/>
      </c>
      <c r="P178" s="81" t="str">
        <f t="shared" si="20"/>
        <v/>
      </c>
      <c r="Q178" s="81" t="str">
        <f t="shared" si="21"/>
        <v/>
      </c>
    </row>
    <row r="179" spans="6:17" x14ac:dyDescent="0.25">
      <c r="F179" s="81" t="str">
        <f>IF($B179="","",IF(AND($B$2="Salary Points 3 to 57",B179&lt;Thresholds_Rates!$C$16),"-",IF(SUMIF(Grades!$A:$A,$B$2,Grades!$BO:$BO)=0,"-",IF(AND($B$2="Salary Points 3 to 57",B179&gt;=Thresholds_Rates!$C$16),$C179*Thresholds_Rates!$F$15,IF(AND(OR($B$2="New Consultant Contract"),$B179&lt;&gt;""),$C179*Thresholds_Rates!$F$15,IF(AND(OR($B$2="Clinical Lecturer / Medical Research Fellow",$B$2="Clinical Consultant - Old Contract (GP)"),$B179&lt;&gt;""),$C179*Thresholds_Rates!$F$15,IF(OR($B$2="APM Level 7",$B$2="R&amp;T Level 7"),$C179*Thresholds_Rates!$F$15,IF(SUMIF(Grades!$A:$A,$B$2,Grades!$BO:$BO)=1,$C179*Thresholds_Rates!$F$15,""))))))))</f>
        <v/>
      </c>
      <c r="M179" s="81" t="str">
        <f t="shared" si="17"/>
        <v/>
      </c>
      <c r="N179" s="81" t="str">
        <f t="shared" si="18"/>
        <v/>
      </c>
      <c r="O179" s="81" t="str">
        <f t="shared" si="19"/>
        <v/>
      </c>
      <c r="P179" s="81" t="str">
        <f t="shared" si="20"/>
        <v/>
      </c>
      <c r="Q179" s="81" t="str">
        <f t="shared" si="21"/>
        <v/>
      </c>
    </row>
    <row r="180" spans="6:17" x14ac:dyDescent="0.25">
      <c r="F180" s="81" t="str">
        <f>IF($B180="","",IF(AND($B$2="Salary Points 3 to 57",B180&lt;Thresholds_Rates!$C$16),"-",IF(SUMIF(Grades!$A:$A,$B$2,Grades!$BO:$BO)=0,"-",IF(AND($B$2="Salary Points 3 to 57",B180&gt;=Thresholds_Rates!$C$16),$C180*Thresholds_Rates!$F$15,IF(AND(OR($B$2="New Consultant Contract"),$B180&lt;&gt;""),$C180*Thresholds_Rates!$F$15,IF(AND(OR($B$2="Clinical Lecturer / Medical Research Fellow",$B$2="Clinical Consultant - Old Contract (GP)"),$B180&lt;&gt;""),$C180*Thresholds_Rates!$F$15,IF(OR($B$2="APM Level 7",$B$2="R&amp;T Level 7"),$C180*Thresholds_Rates!$F$15,IF(SUMIF(Grades!$A:$A,$B$2,Grades!$BO:$BO)=1,$C180*Thresholds_Rates!$F$15,""))))))))</f>
        <v/>
      </c>
      <c r="M180" s="81" t="str">
        <f t="shared" si="17"/>
        <v/>
      </c>
      <c r="N180" s="81" t="str">
        <f t="shared" si="18"/>
        <v/>
      </c>
      <c r="O180" s="81" t="str">
        <f t="shared" si="19"/>
        <v/>
      </c>
      <c r="P180" s="81" t="str">
        <f t="shared" si="20"/>
        <v/>
      </c>
      <c r="Q180" s="81" t="str">
        <f t="shared" si="21"/>
        <v/>
      </c>
    </row>
    <row r="181" spans="6:17" x14ac:dyDescent="0.25">
      <c r="F181" s="81" t="str">
        <f>IF($B181="","",IF(AND($B$2="Salary Points 3 to 57",B181&lt;Thresholds_Rates!$C$16),"-",IF(SUMIF(Grades!$A:$A,$B$2,Grades!$BO:$BO)=0,"-",IF(AND($B$2="Salary Points 3 to 57",B181&gt;=Thresholds_Rates!$C$16),$C181*Thresholds_Rates!$F$15,IF(AND(OR($B$2="New Consultant Contract"),$B181&lt;&gt;""),$C181*Thresholds_Rates!$F$15,IF(AND(OR($B$2="Clinical Lecturer / Medical Research Fellow",$B$2="Clinical Consultant - Old Contract (GP)"),$B181&lt;&gt;""),$C181*Thresholds_Rates!$F$15,IF(OR($B$2="APM Level 7",$B$2="R&amp;T Level 7"),$C181*Thresholds_Rates!$F$15,IF(SUMIF(Grades!$A:$A,$B$2,Grades!$BO:$BO)=1,$C181*Thresholds_Rates!$F$15,""))))))))</f>
        <v/>
      </c>
      <c r="M181" s="81" t="str">
        <f t="shared" si="17"/>
        <v/>
      </c>
      <c r="N181" s="81" t="str">
        <f t="shared" si="18"/>
        <v/>
      </c>
      <c r="O181" s="81" t="str">
        <f t="shared" si="19"/>
        <v/>
      </c>
      <c r="P181" s="81" t="str">
        <f t="shared" si="20"/>
        <v/>
      </c>
      <c r="Q181" s="81" t="str">
        <f t="shared" si="21"/>
        <v/>
      </c>
    </row>
    <row r="182" spans="6:17" x14ac:dyDescent="0.25">
      <c r="F182" s="81" t="str">
        <f>IF($B182="","",IF(AND($B$2="Salary Points 3 to 57",B182&lt;Thresholds_Rates!$C$16),"-",IF(SUMIF(Grades!$A:$A,$B$2,Grades!$BO:$BO)=0,"-",IF(AND($B$2="Salary Points 3 to 57",B182&gt;=Thresholds_Rates!$C$16),$C182*Thresholds_Rates!$F$15,IF(AND(OR($B$2="New Consultant Contract"),$B182&lt;&gt;""),$C182*Thresholds_Rates!$F$15,IF(AND(OR($B$2="Clinical Lecturer / Medical Research Fellow",$B$2="Clinical Consultant - Old Contract (GP)"),$B182&lt;&gt;""),$C182*Thresholds_Rates!$F$15,IF(OR($B$2="APM Level 7",$B$2="R&amp;T Level 7"),$C182*Thresholds_Rates!$F$15,IF(SUMIF(Grades!$A:$A,$B$2,Grades!$BO:$BO)=1,$C182*Thresholds_Rates!$F$15,""))))))))</f>
        <v/>
      </c>
      <c r="M182" s="81" t="str">
        <f t="shared" si="17"/>
        <v/>
      </c>
      <c r="N182" s="81" t="str">
        <f t="shared" si="18"/>
        <v/>
      </c>
      <c r="O182" s="81" t="str">
        <f t="shared" si="19"/>
        <v/>
      </c>
      <c r="P182" s="81" t="str">
        <f t="shared" si="20"/>
        <v/>
      </c>
      <c r="Q182" s="81" t="str">
        <f t="shared" si="21"/>
        <v/>
      </c>
    </row>
    <row r="183" spans="6:17" x14ac:dyDescent="0.25">
      <c r="F183" s="81" t="str">
        <f>IF($B183="","",IF(AND($B$2="Salary Points 3 to 57",B183&lt;Thresholds_Rates!$C$16),"-",IF(SUMIF(Grades!$A:$A,$B$2,Grades!$BO:$BO)=0,"-",IF(AND($B$2="Salary Points 3 to 57",B183&gt;=Thresholds_Rates!$C$16),$C183*Thresholds_Rates!$F$15,IF(AND(OR($B$2="New Consultant Contract"),$B183&lt;&gt;""),$C183*Thresholds_Rates!$F$15,IF(AND(OR($B$2="Clinical Lecturer / Medical Research Fellow",$B$2="Clinical Consultant - Old Contract (GP)"),$B183&lt;&gt;""),$C183*Thresholds_Rates!$F$15,IF(OR($B$2="APM Level 7",$B$2="R&amp;T Level 7"),$C183*Thresholds_Rates!$F$15,IF(SUMIF(Grades!$A:$A,$B$2,Grades!$BO:$BO)=1,$C183*Thresholds_Rates!$F$15,""))))))))</f>
        <v/>
      </c>
      <c r="M183" s="81" t="str">
        <f t="shared" si="17"/>
        <v/>
      </c>
      <c r="N183" s="81" t="str">
        <f t="shared" si="18"/>
        <v/>
      </c>
      <c r="O183" s="81" t="str">
        <f t="shared" si="19"/>
        <v/>
      </c>
      <c r="P183" s="81" t="str">
        <f t="shared" si="20"/>
        <v/>
      </c>
      <c r="Q183" s="81" t="str">
        <f t="shared" si="21"/>
        <v/>
      </c>
    </row>
    <row r="184" spans="6:17" x14ac:dyDescent="0.25">
      <c r="F184" s="81" t="str">
        <f>IF($B184="","",IF(AND($B$2="Salary Points 3 to 57",B184&lt;Thresholds_Rates!$C$16),"-",IF(SUMIF(Grades!$A:$A,$B$2,Grades!$BO:$BO)=0,"-",IF(AND($B$2="Salary Points 3 to 57",B184&gt;=Thresholds_Rates!$C$16),$C184*Thresholds_Rates!$F$15,IF(AND(OR($B$2="New Consultant Contract"),$B184&lt;&gt;""),$C184*Thresholds_Rates!$F$15,IF(AND(OR($B$2="Clinical Lecturer / Medical Research Fellow",$B$2="Clinical Consultant - Old Contract (GP)"),$B184&lt;&gt;""),$C184*Thresholds_Rates!$F$15,IF(OR($B$2="APM Level 7",$B$2="R&amp;T Level 7"),$C184*Thresholds_Rates!$F$15,IF(SUMIF(Grades!$A:$A,$B$2,Grades!$BO:$BO)=1,$C184*Thresholds_Rates!$F$15,""))))))))</f>
        <v/>
      </c>
      <c r="M184" s="81" t="str">
        <f t="shared" si="17"/>
        <v/>
      </c>
      <c r="N184" s="81" t="str">
        <f t="shared" si="18"/>
        <v/>
      </c>
      <c r="O184" s="81" t="str">
        <f t="shared" si="19"/>
        <v/>
      </c>
      <c r="P184" s="81" t="str">
        <f t="shared" si="20"/>
        <v/>
      </c>
      <c r="Q184" s="81" t="str">
        <f t="shared" si="21"/>
        <v/>
      </c>
    </row>
    <row r="185" spans="6:17" x14ac:dyDescent="0.25">
      <c r="F185" s="81" t="str">
        <f>IF($B185="","",IF(AND($B$2="Salary Points 3 to 57",B185&lt;Thresholds_Rates!$C$16),"-",IF(SUMIF(Grades!$A:$A,$B$2,Grades!$BO:$BO)=0,"-",IF(AND($B$2="Salary Points 3 to 57",B185&gt;=Thresholds_Rates!$C$16),$C185*Thresholds_Rates!$F$15,IF(AND(OR($B$2="New Consultant Contract"),$B185&lt;&gt;""),$C185*Thresholds_Rates!$F$15,IF(AND(OR($B$2="Clinical Lecturer / Medical Research Fellow",$B$2="Clinical Consultant - Old Contract (GP)"),$B185&lt;&gt;""),$C185*Thresholds_Rates!$F$15,IF(OR($B$2="APM Level 7",$B$2="R&amp;T Level 7"),$C185*Thresholds_Rates!$F$15,IF(SUMIF(Grades!$A:$A,$B$2,Grades!$BO:$BO)=1,$C185*Thresholds_Rates!$F$15,""))))))))</f>
        <v/>
      </c>
      <c r="M185" s="81" t="str">
        <f t="shared" si="17"/>
        <v/>
      </c>
      <c r="N185" s="81" t="str">
        <f t="shared" si="18"/>
        <v/>
      </c>
      <c r="O185" s="81" t="str">
        <f t="shared" si="19"/>
        <v/>
      </c>
      <c r="P185" s="81" t="str">
        <f t="shared" si="20"/>
        <v/>
      </c>
      <c r="Q185" s="81" t="str">
        <f t="shared" si="21"/>
        <v/>
      </c>
    </row>
    <row r="186" spans="6:17" x14ac:dyDescent="0.25">
      <c r="F186" s="81" t="str">
        <f>IF($B186="","",IF(AND($B$2="Salary Points 3 to 57",B186&lt;Thresholds_Rates!$C$16),"-",IF(SUMIF(Grades!$A:$A,$B$2,Grades!$BO:$BO)=0,"-",IF(AND($B$2="Salary Points 3 to 57",B186&gt;=Thresholds_Rates!$C$16),$C186*Thresholds_Rates!$F$15,IF(AND(OR($B$2="New Consultant Contract"),$B186&lt;&gt;""),$C186*Thresholds_Rates!$F$15,IF(AND(OR($B$2="Clinical Lecturer / Medical Research Fellow",$B$2="Clinical Consultant - Old Contract (GP)"),$B186&lt;&gt;""),$C186*Thresholds_Rates!$F$15,IF(OR($B$2="APM Level 7",$B$2="R&amp;T Level 7"),$C186*Thresholds_Rates!$F$15,IF(SUMIF(Grades!$A:$A,$B$2,Grades!$BO:$BO)=1,$C186*Thresholds_Rates!$F$15,""))))))))</f>
        <v/>
      </c>
      <c r="M186" s="81" t="str">
        <f t="shared" si="17"/>
        <v/>
      </c>
      <c r="N186" s="81" t="str">
        <f t="shared" si="18"/>
        <v/>
      </c>
      <c r="O186" s="81" t="str">
        <f t="shared" si="19"/>
        <v/>
      </c>
      <c r="P186" s="81" t="str">
        <f t="shared" si="20"/>
        <v/>
      </c>
      <c r="Q186" s="81" t="str">
        <f t="shared" si="21"/>
        <v/>
      </c>
    </row>
    <row r="187" spans="6:17" x14ac:dyDescent="0.25">
      <c r="F187" s="81" t="str">
        <f>IF($B187="","",IF(AND($B$2="Salary Points 3 to 57",B187&lt;Thresholds_Rates!$C$16),"-",IF(SUMIF(Grades!$A:$A,$B$2,Grades!$BO:$BO)=0,"-",IF(AND($B$2="Salary Points 3 to 57",B187&gt;=Thresholds_Rates!$C$16),$C187*Thresholds_Rates!$F$15,IF(AND(OR($B$2="New Consultant Contract"),$B187&lt;&gt;""),$C187*Thresholds_Rates!$F$15,IF(AND(OR($B$2="Clinical Lecturer / Medical Research Fellow",$B$2="Clinical Consultant - Old Contract (GP)"),$B187&lt;&gt;""),$C187*Thresholds_Rates!$F$15,IF(OR($B$2="APM Level 7",$B$2="R&amp;T Level 7"),$C187*Thresholds_Rates!$F$15,IF(SUMIF(Grades!$A:$A,$B$2,Grades!$BO:$BO)=1,$C187*Thresholds_Rates!$F$15,""))))))))</f>
        <v/>
      </c>
      <c r="M187" s="81" t="str">
        <f t="shared" si="17"/>
        <v/>
      </c>
      <c r="N187" s="81" t="str">
        <f t="shared" si="18"/>
        <v/>
      </c>
      <c r="O187" s="81" t="str">
        <f t="shared" si="19"/>
        <v/>
      </c>
      <c r="P187" s="81" t="str">
        <f t="shared" si="20"/>
        <v/>
      </c>
      <c r="Q187" s="81" t="str">
        <f t="shared" si="21"/>
        <v/>
      </c>
    </row>
    <row r="188" spans="6:17" x14ac:dyDescent="0.25">
      <c r="F188" s="81" t="str">
        <f>IF($B188="","",IF(AND($B$2="Salary Points 3 to 57",B188&lt;Thresholds_Rates!$C$16),"-",IF(SUMIF(Grades!$A:$A,$B$2,Grades!$BO:$BO)=0,"-",IF(AND($B$2="Salary Points 3 to 57",B188&gt;=Thresholds_Rates!$C$16),$C188*Thresholds_Rates!$F$15,IF(AND(OR($B$2="New Consultant Contract"),$B188&lt;&gt;""),$C188*Thresholds_Rates!$F$15,IF(AND(OR($B$2="Clinical Lecturer / Medical Research Fellow",$B$2="Clinical Consultant - Old Contract (GP)"),$B188&lt;&gt;""),$C188*Thresholds_Rates!$F$15,IF(OR($B$2="APM Level 7",$B$2="R&amp;T Level 7"),$C188*Thresholds_Rates!$F$15,IF(SUMIF(Grades!$A:$A,$B$2,Grades!$BO:$BO)=1,$C188*Thresholds_Rates!$F$15,""))))))))</f>
        <v/>
      </c>
      <c r="M188" s="81" t="str">
        <f t="shared" si="17"/>
        <v/>
      </c>
      <c r="N188" s="81" t="str">
        <f t="shared" si="18"/>
        <v/>
      </c>
      <c r="O188" s="81" t="str">
        <f t="shared" si="19"/>
        <v/>
      </c>
      <c r="P188" s="81" t="str">
        <f t="shared" si="20"/>
        <v/>
      </c>
      <c r="Q188" s="81" t="str">
        <f t="shared" si="21"/>
        <v/>
      </c>
    </row>
    <row r="189" spans="6:17" x14ac:dyDescent="0.25">
      <c r="F189" s="81" t="str">
        <f>IF($B189="","",IF(AND($B$2="Salary Points 3 to 57",B189&lt;Thresholds_Rates!$C$16),"-",IF(SUMIF(Grades!$A:$A,$B$2,Grades!$BO:$BO)=0,"-",IF(AND($B$2="Salary Points 3 to 57",B189&gt;=Thresholds_Rates!$C$16),$C189*Thresholds_Rates!$F$15,IF(AND(OR($B$2="New Consultant Contract"),$B189&lt;&gt;""),$C189*Thresholds_Rates!$F$15,IF(AND(OR($B$2="Clinical Lecturer / Medical Research Fellow",$B$2="Clinical Consultant - Old Contract (GP)"),$B189&lt;&gt;""),$C189*Thresholds_Rates!$F$15,IF(OR($B$2="APM Level 7",$B$2="R&amp;T Level 7"),$C189*Thresholds_Rates!$F$15,IF(SUMIF(Grades!$A:$A,$B$2,Grades!$BO:$BO)=1,$C189*Thresholds_Rates!$F$15,""))))))))</f>
        <v/>
      </c>
      <c r="M189" s="81" t="str">
        <f t="shared" si="17"/>
        <v/>
      </c>
      <c r="N189" s="81" t="str">
        <f t="shared" si="18"/>
        <v/>
      </c>
      <c r="O189" s="81" t="str">
        <f t="shared" si="19"/>
        <v/>
      </c>
      <c r="P189" s="81" t="str">
        <f t="shared" si="20"/>
        <v/>
      </c>
      <c r="Q189" s="81" t="str">
        <f t="shared" si="21"/>
        <v/>
      </c>
    </row>
    <row r="190" spans="6:17" x14ac:dyDescent="0.25">
      <c r="F190" s="81" t="str">
        <f>IF($B190="","",IF(AND($B$2="Salary Points 3 to 57",B190&lt;Thresholds_Rates!$C$16),"-",IF(SUMIF(Grades!$A:$A,$B$2,Grades!$BO:$BO)=0,"-",IF(AND($B$2="Salary Points 3 to 57",B190&gt;=Thresholds_Rates!$C$16),$C190*Thresholds_Rates!$F$15,IF(AND(OR($B$2="New Consultant Contract"),$B190&lt;&gt;""),$C190*Thresholds_Rates!$F$15,IF(AND(OR($B$2="Clinical Lecturer / Medical Research Fellow",$B$2="Clinical Consultant - Old Contract (GP)"),$B190&lt;&gt;""),$C190*Thresholds_Rates!$F$15,IF(OR($B$2="APM Level 7",$B$2="R&amp;T Level 7"),$C190*Thresholds_Rates!$F$15,IF(SUMIF(Grades!$A:$A,$B$2,Grades!$BO:$BO)=1,$C190*Thresholds_Rates!$F$15,""))))))))</f>
        <v/>
      </c>
      <c r="M190" s="81" t="str">
        <f t="shared" si="17"/>
        <v/>
      </c>
      <c r="N190" s="81" t="str">
        <f t="shared" si="18"/>
        <v/>
      </c>
      <c r="O190" s="81" t="str">
        <f t="shared" si="19"/>
        <v/>
      </c>
      <c r="P190" s="81" t="str">
        <f t="shared" si="20"/>
        <v/>
      </c>
      <c r="Q190" s="81" t="str">
        <f t="shared" si="21"/>
        <v/>
      </c>
    </row>
    <row r="191" spans="6:17" x14ac:dyDescent="0.25">
      <c r="F191" s="81" t="str">
        <f>IF($B191="","",IF(AND($B$2="Salary Points 3 to 57",B191&lt;Thresholds_Rates!$C$16),"-",IF(SUMIF(Grades!$A:$A,$B$2,Grades!$BO:$BO)=0,"-",IF(AND($B$2="Salary Points 3 to 57",B191&gt;=Thresholds_Rates!$C$16),$C191*Thresholds_Rates!$F$15,IF(AND(OR($B$2="New Consultant Contract"),$B191&lt;&gt;""),$C191*Thresholds_Rates!$F$15,IF(AND(OR($B$2="Clinical Lecturer / Medical Research Fellow",$B$2="Clinical Consultant - Old Contract (GP)"),$B191&lt;&gt;""),$C191*Thresholds_Rates!$F$15,IF(OR($B$2="APM Level 7",$B$2="R&amp;T Level 7"),$C191*Thresholds_Rates!$F$15,IF(SUMIF(Grades!$A:$A,$B$2,Grades!$BO:$BO)=1,$C191*Thresholds_Rates!$F$15,""))))))))</f>
        <v/>
      </c>
      <c r="M191" s="81" t="str">
        <f t="shared" si="17"/>
        <v/>
      </c>
      <c r="N191" s="81" t="str">
        <f t="shared" si="18"/>
        <v/>
      </c>
      <c r="O191" s="81" t="str">
        <f t="shared" si="19"/>
        <v/>
      </c>
      <c r="P191" s="81" t="str">
        <f t="shared" si="20"/>
        <v/>
      </c>
      <c r="Q191" s="81" t="str">
        <f t="shared" si="21"/>
        <v/>
      </c>
    </row>
    <row r="192" spans="6:17" x14ac:dyDescent="0.25">
      <c r="F192" s="81" t="str">
        <f>IF($B192="","",IF(AND($B$2="Salary Points 3 to 57",B192&lt;Thresholds_Rates!$C$16),"-",IF(SUMIF(Grades!$A:$A,$B$2,Grades!$BO:$BO)=0,"-",IF(AND($B$2="Salary Points 3 to 57",B192&gt;=Thresholds_Rates!$C$16),$C192*Thresholds_Rates!$F$15,IF(AND(OR($B$2="New Consultant Contract"),$B192&lt;&gt;""),$C192*Thresholds_Rates!$F$15,IF(AND(OR($B$2="Clinical Lecturer / Medical Research Fellow",$B$2="Clinical Consultant - Old Contract (GP)"),$B192&lt;&gt;""),$C192*Thresholds_Rates!$F$15,IF(OR($B$2="APM Level 7",$B$2="R&amp;T Level 7"),$C192*Thresholds_Rates!$F$15,IF(SUMIF(Grades!$A:$A,$B$2,Grades!$BO:$BO)=1,$C192*Thresholds_Rates!$F$15,""))))))))</f>
        <v/>
      </c>
      <c r="M192" s="81" t="str">
        <f t="shared" si="17"/>
        <v/>
      </c>
      <c r="N192" s="81" t="str">
        <f t="shared" si="18"/>
        <v/>
      </c>
      <c r="O192" s="81" t="str">
        <f t="shared" si="19"/>
        <v/>
      </c>
      <c r="P192" s="81" t="str">
        <f t="shared" si="20"/>
        <v/>
      </c>
      <c r="Q192" s="81" t="str">
        <f t="shared" si="21"/>
        <v/>
      </c>
    </row>
    <row r="193" spans="6:17" x14ac:dyDescent="0.25">
      <c r="F193" s="81" t="str">
        <f>IF($B193="","",IF(AND($B$2="Salary Points 3 to 57",B193&lt;Thresholds_Rates!$C$16),"-",IF(SUMIF(Grades!$A:$A,$B$2,Grades!$BO:$BO)=0,"-",IF(AND($B$2="Salary Points 3 to 57",B193&gt;=Thresholds_Rates!$C$16),$C193*Thresholds_Rates!$F$15,IF(AND(OR($B$2="New Consultant Contract"),$B193&lt;&gt;""),$C193*Thresholds_Rates!$F$15,IF(AND(OR($B$2="Clinical Lecturer / Medical Research Fellow",$B$2="Clinical Consultant - Old Contract (GP)"),$B193&lt;&gt;""),$C193*Thresholds_Rates!$F$15,IF(OR($B$2="APM Level 7",$B$2="R&amp;T Level 7"),$C193*Thresholds_Rates!$F$15,IF(SUMIF(Grades!$A:$A,$B$2,Grades!$BO:$BO)=1,$C193*Thresholds_Rates!$F$15,""))))))))</f>
        <v/>
      </c>
      <c r="M193" s="81" t="str">
        <f t="shared" si="17"/>
        <v/>
      </c>
      <c r="N193" s="81" t="str">
        <f t="shared" si="18"/>
        <v/>
      </c>
      <c r="O193" s="81" t="str">
        <f t="shared" si="19"/>
        <v/>
      </c>
      <c r="P193" s="81" t="str">
        <f t="shared" si="20"/>
        <v/>
      </c>
      <c r="Q193" s="81" t="str">
        <f t="shared" si="21"/>
        <v/>
      </c>
    </row>
    <row r="194" spans="6:17" x14ac:dyDescent="0.25">
      <c r="F194" s="81" t="str">
        <f>IF($B194="","",IF(AND($B$2="Salary Points 3 to 57",B194&lt;Thresholds_Rates!$C$16),"-",IF(SUMIF(Grades!$A:$A,$B$2,Grades!$BO:$BO)=0,"-",IF(AND($B$2="Salary Points 3 to 57",B194&gt;=Thresholds_Rates!$C$16),$C194*Thresholds_Rates!$F$15,IF(AND(OR($B$2="New Consultant Contract"),$B194&lt;&gt;""),$C194*Thresholds_Rates!$F$15,IF(AND(OR($B$2="Clinical Lecturer / Medical Research Fellow",$B$2="Clinical Consultant - Old Contract (GP)"),$B194&lt;&gt;""),$C194*Thresholds_Rates!$F$15,IF(OR($B$2="APM Level 7",$B$2="R&amp;T Level 7"),$C194*Thresholds_Rates!$F$15,IF(SUMIF(Grades!$A:$A,$B$2,Grades!$BO:$BO)=1,$C194*Thresholds_Rates!$F$15,""))))))))</f>
        <v/>
      </c>
      <c r="M194" s="81" t="str">
        <f t="shared" si="17"/>
        <v/>
      </c>
      <c r="N194" s="81" t="str">
        <f t="shared" si="18"/>
        <v/>
      </c>
      <c r="O194" s="81" t="str">
        <f t="shared" si="19"/>
        <v/>
      </c>
      <c r="P194" s="81" t="str">
        <f t="shared" si="20"/>
        <v/>
      </c>
      <c r="Q194" s="81" t="str">
        <f t="shared" si="21"/>
        <v/>
      </c>
    </row>
    <row r="195" spans="6:17" x14ac:dyDescent="0.25">
      <c r="F195" s="81" t="str">
        <f>IF($B195="","",IF(AND($B$2="Salary Points 3 to 57",B195&lt;Thresholds_Rates!$C$16),"-",IF(SUMIF(Grades!$A:$A,$B$2,Grades!$BO:$BO)=0,"-",IF(AND($B$2="Salary Points 3 to 57",B195&gt;=Thresholds_Rates!$C$16),$C195*Thresholds_Rates!$F$15,IF(AND(OR($B$2="New Consultant Contract"),$B195&lt;&gt;""),$C195*Thresholds_Rates!$F$15,IF(AND(OR($B$2="Clinical Lecturer / Medical Research Fellow",$B$2="Clinical Consultant - Old Contract (GP)"),$B195&lt;&gt;""),$C195*Thresholds_Rates!$F$15,IF(OR($B$2="APM Level 7",$B$2="R&amp;T Level 7"),$C195*Thresholds_Rates!$F$15,IF(SUMIF(Grades!$A:$A,$B$2,Grades!$BO:$BO)=1,$C195*Thresholds_Rates!$F$15,""))))))))</f>
        <v/>
      </c>
      <c r="M195" s="81" t="str">
        <f t="shared" si="17"/>
        <v/>
      </c>
      <c r="N195" s="81" t="str">
        <f t="shared" si="18"/>
        <v/>
      </c>
      <c r="O195" s="81" t="str">
        <f t="shared" si="19"/>
        <v/>
      </c>
      <c r="P195" s="81" t="str">
        <f t="shared" si="20"/>
        <v/>
      </c>
      <c r="Q195" s="81" t="str">
        <f t="shared" si="21"/>
        <v/>
      </c>
    </row>
    <row r="196" spans="6:17" x14ac:dyDescent="0.25">
      <c r="F196" s="81" t="str">
        <f>IF($B196="","",IF(AND($B$2="Salary Points 3 to 57",B196&lt;Thresholds_Rates!$C$16),"-",IF(SUMIF(Grades!$A:$A,$B$2,Grades!$BO:$BO)=0,"-",IF(AND($B$2="Salary Points 3 to 57",B196&gt;=Thresholds_Rates!$C$16),$C196*Thresholds_Rates!$F$15,IF(AND(OR($B$2="New Consultant Contract"),$B196&lt;&gt;""),$C196*Thresholds_Rates!$F$15,IF(AND(OR($B$2="Clinical Lecturer / Medical Research Fellow",$B$2="Clinical Consultant - Old Contract (GP)"),$B196&lt;&gt;""),$C196*Thresholds_Rates!$F$15,IF(OR($B$2="APM Level 7",$B$2="R&amp;T Level 7"),$C196*Thresholds_Rates!$F$15,IF(SUMIF(Grades!$A:$A,$B$2,Grades!$BO:$BO)=1,$C196*Thresholds_Rates!$F$15,""))))))))</f>
        <v/>
      </c>
      <c r="M196" s="81" t="str">
        <f t="shared" si="17"/>
        <v/>
      </c>
      <c r="N196" s="81" t="str">
        <f t="shared" si="18"/>
        <v/>
      </c>
      <c r="O196" s="81" t="str">
        <f t="shared" si="19"/>
        <v/>
      </c>
      <c r="P196" s="81" t="str">
        <f t="shared" si="20"/>
        <v/>
      </c>
      <c r="Q196" s="81" t="str">
        <f t="shared" si="21"/>
        <v/>
      </c>
    </row>
    <row r="197" spans="6:17" x14ac:dyDescent="0.25">
      <c r="F197" s="81" t="str">
        <f>IF($B197="","",IF(AND($B$2="Salary Points 3 to 57",B197&lt;Thresholds_Rates!$C$16),"-",IF(SUMIF(Grades!$A:$A,$B$2,Grades!$BO:$BO)=0,"-",IF(AND($B$2="Salary Points 3 to 57",B197&gt;=Thresholds_Rates!$C$16),$C197*Thresholds_Rates!$F$15,IF(AND(OR($B$2="New Consultant Contract"),$B197&lt;&gt;""),$C197*Thresholds_Rates!$F$15,IF(AND(OR($B$2="Clinical Lecturer / Medical Research Fellow",$B$2="Clinical Consultant - Old Contract (GP)"),$B197&lt;&gt;""),$C197*Thresholds_Rates!$F$15,IF(OR($B$2="APM Level 7",$B$2="R&amp;T Level 7"),$C197*Thresholds_Rates!$F$15,IF(SUMIF(Grades!$A:$A,$B$2,Grades!$BO:$BO)=1,$C197*Thresholds_Rates!$F$15,""))))))))</f>
        <v/>
      </c>
      <c r="M197" s="81" t="str">
        <f t="shared" si="17"/>
        <v/>
      </c>
      <c r="N197" s="81" t="str">
        <f t="shared" si="18"/>
        <v/>
      </c>
      <c r="O197" s="81" t="str">
        <f t="shared" si="19"/>
        <v/>
      </c>
      <c r="P197" s="81" t="str">
        <f t="shared" si="20"/>
        <v/>
      </c>
      <c r="Q197" s="81" t="str">
        <f t="shared" si="21"/>
        <v/>
      </c>
    </row>
    <row r="198" spans="6:17" x14ac:dyDescent="0.25">
      <c r="F198" s="81" t="str">
        <f>IF($B198="","",IF(AND($B$2="Salary Points 3 to 57",B198&lt;Thresholds_Rates!$C$16),"-",IF(SUMIF(Grades!$A:$A,$B$2,Grades!$BO:$BO)=0,"-",IF(AND($B$2="Salary Points 3 to 57",B198&gt;=Thresholds_Rates!$C$16),$C198*Thresholds_Rates!$F$15,IF(AND(OR($B$2="New Consultant Contract"),$B198&lt;&gt;""),$C198*Thresholds_Rates!$F$15,IF(AND(OR($B$2="Clinical Lecturer / Medical Research Fellow",$B$2="Clinical Consultant - Old Contract (GP)"),$B198&lt;&gt;""),$C198*Thresholds_Rates!$F$15,IF(OR($B$2="APM Level 7",$B$2="R&amp;T Level 7"),$C198*Thresholds_Rates!$F$15,IF(SUMIF(Grades!$A:$A,$B$2,Grades!$BO:$BO)=1,$C198*Thresholds_Rates!$F$15,""))))))))</f>
        <v/>
      </c>
      <c r="M198" s="81" t="str">
        <f t="shared" si="17"/>
        <v/>
      </c>
      <c r="N198" s="81" t="str">
        <f t="shared" si="18"/>
        <v/>
      </c>
      <c r="O198" s="81" t="str">
        <f t="shared" si="19"/>
        <v/>
      </c>
      <c r="P198" s="81" t="str">
        <f t="shared" si="20"/>
        <v/>
      </c>
      <c r="Q198" s="81" t="str">
        <f t="shared" si="21"/>
        <v/>
      </c>
    </row>
    <row r="199" spans="6:17" x14ac:dyDescent="0.25">
      <c r="F199" s="81" t="str">
        <f>IF($B199="","",IF(AND($B$2="Salary Points 3 to 57",B199&lt;Thresholds_Rates!$C$16),"-",IF(SUMIF(Grades!$A:$A,$B$2,Grades!$BO:$BO)=0,"-",IF(AND($B$2="Salary Points 3 to 57",B199&gt;=Thresholds_Rates!$C$16),$C199*Thresholds_Rates!$F$15,IF(AND(OR($B$2="New Consultant Contract"),$B199&lt;&gt;""),$C199*Thresholds_Rates!$F$15,IF(AND(OR($B$2="Clinical Lecturer / Medical Research Fellow",$B$2="Clinical Consultant - Old Contract (GP)"),$B199&lt;&gt;""),$C199*Thresholds_Rates!$F$15,IF(OR($B$2="APM Level 7",$B$2="R&amp;T Level 7"),$C199*Thresholds_Rates!$F$15,IF(SUMIF(Grades!$A:$A,$B$2,Grades!$BO:$BO)=1,$C199*Thresholds_Rates!$F$15,""))))))))</f>
        <v/>
      </c>
      <c r="M199" s="81" t="str">
        <f t="shared" si="17"/>
        <v/>
      </c>
      <c r="N199" s="81" t="str">
        <f t="shared" si="18"/>
        <v/>
      </c>
      <c r="O199" s="81" t="str">
        <f t="shared" si="19"/>
        <v/>
      </c>
      <c r="P199" s="81" t="str">
        <f t="shared" si="20"/>
        <v/>
      </c>
      <c r="Q199" s="81" t="str">
        <f t="shared" si="21"/>
        <v/>
      </c>
    </row>
    <row r="200" spans="6:17" x14ac:dyDescent="0.25">
      <c r="F200" s="81" t="str">
        <f>IF($B200="","",IF(AND($B$2="Salary Points 3 to 57",B200&lt;Thresholds_Rates!$C$16),"-",IF(SUMIF(Grades!$A:$A,$B$2,Grades!$BO:$BO)=0,"-",IF(AND($B$2="Salary Points 3 to 57",B200&gt;=Thresholds_Rates!$C$16),$C200*Thresholds_Rates!$F$15,IF(AND(OR($B$2="New Consultant Contract"),$B200&lt;&gt;""),$C200*Thresholds_Rates!$F$15,IF(AND(OR($B$2="Clinical Lecturer / Medical Research Fellow",$B$2="Clinical Consultant - Old Contract (GP)"),$B200&lt;&gt;""),$C200*Thresholds_Rates!$F$15,IF(OR($B$2="APM Level 7",$B$2="R&amp;T Level 7"),$C200*Thresholds_Rates!$F$15,IF(SUMIF(Grades!$A:$A,$B$2,Grades!$BO:$BO)=1,$C200*Thresholds_Rates!$F$15,""))))))))</f>
        <v/>
      </c>
      <c r="M200" s="81" t="str">
        <f t="shared" si="17"/>
        <v/>
      </c>
      <c r="N200" s="81" t="str">
        <f t="shared" si="18"/>
        <v/>
      </c>
      <c r="O200" s="81" t="str">
        <f t="shared" si="19"/>
        <v/>
      </c>
      <c r="P200" s="81" t="str">
        <f t="shared" si="20"/>
        <v/>
      </c>
      <c r="Q200" s="81" t="str">
        <f t="shared" si="21"/>
        <v/>
      </c>
    </row>
    <row r="201" spans="6:17" x14ac:dyDescent="0.25">
      <c r="F201" s="81" t="str">
        <f>IF($B201="","",IF(AND($B$2="Salary Points 3 to 57",B201&lt;Thresholds_Rates!$C$16),"-",IF(SUMIF(Grades!$A:$A,$B$2,Grades!$BO:$BO)=0,"-",IF(AND($B$2="Salary Points 3 to 57",B201&gt;=Thresholds_Rates!$C$16),$C201*Thresholds_Rates!$F$15,IF(AND(OR($B$2="New Consultant Contract"),$B201&lt;&gt;""),$C201*Thresholds_Rates!$F$15,IF(AND(OR($B$2="Clinical Lecturer / Medical Research Fellow",$B$2="Clinical Consultant - Old Contract (GP)"),$B201&lt;&gt;""),$C201*Thresholds_Rates!$F$15,IF(OR($B$2="APM Level 7",$B$2="R&amp;T Level 7"),$C201*Thresholds_Rates!$F$15,IF(SUMIF(Grades!$A:$A,$B$2,Grades!$BO:$BO)=1,$C201*Thresholds_Rates!$F$15,""))))))))</f>
        <v/>
      </c>
      <c r="M201" s="81" t="str">
        <f t="shared" si="17"/>
        <v/>
      </c>
      <c r="N201" s="81" t="str">
        <f t="shared" si="18"/>
        <v/>
      </c>
      <c r="O201" s="81" t="str">
        <f t="shared" si="19"/>
        <v/>
      </c>
      <c r="P201" s="81" t="str">
        <f t="shared" si="20"/>
        <v/>
      </c>
      <c r="Q201" s="81" t="str">
        <f t="shared" si="21"/>
        <v/>
      </c>
    </row>
    <row r="202" spans="6:17" x14ac:dyDescent="0.25">
      <c r="F202" s="81" t="str">
        <f>IF($B202="","",IF(AND($B$2="Salary Points 3 to 57",B202&lt;Thresholds_Rates!$C$16),"-",IF(SUMIF(Grades!$A:$A,$B$2,Grades!$BO:$BO)=0,"-",IF(AND($B$2="Salary Points 3 to 57",B202&gt;=Thresholds_Rates!$C$16),$C202*Thresholds_Rates!$F$15,IF(AND(OR($B$2="New Consultant Contract"),$B202&lt;&gt;""),$C202*Thresholds_Rates!$F$15,IF(AND(OR($B$2="Clinical Lecturer / Medical Research Fellow",$B$2="Clinical Consultant - Old Contract (GP)"),$B202&lt;&gt;""),$C202*Thresholds_Rates!$F$15,IF(OR($B$2="APM Level 7",$B$2="R&amp;T Level 7"),$C202*Thresholds_Rates!$F$15,IF(SUMIF(Grades!$A:$A,$B$2,Grades!$BO:$BO)=1,$C202*Thresholds_Rates!$F$15,""))))))))</f>
        <v/>
      </c>
      <c r="M202" s="81" t="str">
        <f t="shared" si="17"/>
        <v/>
      </c>
      <c r="N202" s="81" t="str">
        <f t="shared" si="18"/>
        <v/>
      </c>
      <c r="O202" s="81" t="str">
        <f t="shared" si="19"/>
        <v/>
      </c>
      <c r="P202" s="81" t="str">
        <f t="shared" si="20"/>
        <v/>
      </c>
      <c r="Q202" s="81" t="str">
        <f t="shared" si="21"/>
        <v/>
      </c>
    </row>
    <row r="203" spans="6:17" x14ac:dyDescent="0.25">
      <c r="F203" s="81" t="str">
        <f>IF($B203="","",IF(AND($B$2="Salary Points 3 to 57",B203&lt;Thresholds_Rates!$C$16),"-",IF(SUMIF(Grades!$A:$A,$B$2,Grades!$BO:$BO)=0,"-",IF(AND($B$2="Salary Points 3 to 57",B203&gt;=Thresholds_Rates!$C$16),$C203*Thresholds_Rates!$F$15,IF(AND(OR($B$2="New Consultant Contract"),$B203&lt;&gt;""),$C203*Thresholds_Rates!$F$15,IF(AND(OR($B$2="Clinical Lecturer / Medical Research Fellow",$B$2="Clinical Consultant - Old Contract (GP)"),$B203&lt;&gt;""),$C203*Thresholds_Rates!$F$15,IF(OR($B$2="APM Level 7",$B$2="R&amp;T Level 7"),$C203*Thresholds_Rates!$F$15,IF(SUMIF(Grades!$A:$A,$B$2,Grades!$BO:$BO)=1,$C203*Thresholds_Rates!$F$15,""))))))))</f>
        <v/>
      </c>
      <c r="M203" s="81" t="str">
        <f t="shared" si="17"/>
        <v/>
      </c>
      <c r="N203" s="81" t="str">
        <f t="shared" si="18"/>
        <v/>
      </c>
      <c r="O203" s="81" t="str">
        <f t="shared" si="19"/>
        <v/>
      </c>
      <c r="P203" s="81" t="str">
        <f t="shared" si="20"/>
        <v/>
      </c>
      <c r="Q203" s="81" t="str">
        <f t="shared" si="21"/>
        <v/>
      </c>
    </row>
    <row r="204" spans="6:17" x14ac:dyDescent="0.25">
      <c r="F204" s="81" t="str">
        <f>IF($B204="","",IF(AND($B$2="Salary Points 3 to 57",B204&lt;Thresholds_Rates!$C$16),"-",IF(SUMIF(Grades!$A:$A,$B$2,Grades!$BO:$BO)=0,"-",IF(AND($B$2="Salary Points 3 to 57",B204&gt;=Thresholds_Rates!$C$16),$C204*Thresholds_Rates!$F$15,IF(AND(OR($B$2="New Consultant Contract"),$B204&lt;&gt;""),$C204*Thresholds_Rates!$F$15,IF(AND(OR($B$2="Clinical Lecturer / Medical Research Fellow",$B$2="Clinical Consultant - Old Contract (GP)"),$B204&lt;&gt;""),$C204*Thresholds_Rates!$F$15,IF(OR($B$2="APM Level 7",$B$2="R&amp;T Level 7"),$C204*Thresholds_Rates!$F$15,IF(SUMIF(Grades!$A:$A,$B$2,Grades!$BO:$BO)=1,$C204*Thresholds_Rates!$F$15,""))))))))</f>
        <v/>
      </c>
      <c r="M204" s="81" t="str">
        <f t="shared" si="17"/>
        <v/>
      </c>
      <c r="N204" s="81" t="str">
        <f t="shared" si="18"/>
        <v/>
      </c>
      <c r="O204" s="81" t="str">
        <f t="shared" si="19"/>
        <v/>
      </c>
      <c r="P204" s="81" t="str">
        <f t="shared" si="20"/>
        <v/>
      </c>
      <c r="Q204" s="81" t="str">
        <f t="shared" si="21"/>
        <v/>
      </c>
    </row>
    <row r="205" spans="6:17" x14ac:dyDescent="0.25">
      <c r="F205" s="81" t="str">
        <f>IF($B205="","",IF(AND($B$2="Salary Points 3 to 57",B205&lt;Thresholds_Rates!$C$16),"-",IF(SUMIF(Grades!$A:$A,$B$2,Grades!$BO:$BO)=0,"-",IF(AND($B$2="Salary Points 3 to 57",B205&gt;=Thresholds_Rates!$C$16),$C205*Thresholds_Rates!$F$15,IF(AND(OR($B$2="New Consultant Contract"),$B205&lt;&gt;""),$C205*Thresholds_Rates!$F$15,IF(AND(OR($B$2="Clinical Lecturer / Medical Research Fellow",$B$2="Clinical Consultant - Old Contract (GP)"),$B205&lt;&gt;""),$C205*Thresholds_Rates!$F$15,IF(OR($B$2="APM Level 7",$B$2="R&amp;T Level 7"),$C205*Thresholds_Rates!$F$15,IF(SUMIF(Grades!$A:$A,$B$2,Grades!$BO:$BO)=1,$C205*Thresholds_Rates!$F$15,""))))))))</f>
        <v/>
      </c>
      <c r="M205" s="81" t="str">
        <f t="shared" si="17"/>
        <v/>
      </c>
      <c r="N205" s="81" t="str">
        <f t="shared" si="18"/>
        <v/>
      </c>
      <c r="O205" s="81" t="str">
        <f t="shared" si="19"/>
        <v/>
      </c>
      <c r="P205" s="81" t="str">
        <f t="shared" si="20"/>
        <v/>
      </c>
      <c r="Q205" s="81" t="str">
        <f t="shared" si="21"/>
        <v/>
      </c>
    </row>
    <row r="206" spans="6:17" x14ac:dyDescent="0.25">
      <c r="F206" s="81" t="str">
        <f>IF($B206="","",IF(AND($B$2="Salary Points 3 to 57",B206&lt;Thresholds_Rates!$C$16),"-",IF(SUMIF(Grades!$A:$A,$B$2,Grades!$BO:$BO)=0,"-",IF(AND($B$2="Salary Points 3 to 57",B206&gt;=Thresholds_Rates!$C$16),$C206*Thresholds_Rates!$F$15,IF(AND(OR($B$2="New Consultant Contract"),$B206&lt;&gt;""),$C206*Thresholds_Rates!$F$15,IF(AND(OR($B$2="Clinical Lecturer / Medical Research Fellow",$B$2="Clinical Consultant - Old Contract (GP)"),$B206&lt;&gt;""),$C206*Thresholds_Rates!$F$15,IF(OR($B$2="APM Level 7",$B$2="R&amp;T Level 7"),$C206*Thresholds_Rates!$F$15,IF(SUMIF(Grades!$A:$A,$B$2,Grades!$BO:$BO)=1,$C206*Thresholds_Rates!$F$15,""))))))))</f>
        <v/>
      </c>
      <c r="M206" s="81" t="str">
        <f t="shared" si="17"/>
        <v/>
      </c>
      <c r="N206" s="81" t="str">
        <f t="shared" si="18"/>
        <v/>
      </c>
      <c r="O206" s="81" t="str">
        <f t="shared" si="19"/>
        <v/>
      </c>
      <c r="P206" s="81" t="str">
        <f t="shared" si="20"/>
        <v/>
      </c>
      <c r="Q206" s="81" t="str">
        <f t="shared" si="21"/>
        <v/>
      </c>
    </row>
    <row r="207" spans="6:17" x14ac:dyDescent="0.25">
      <c r="F207" s="81" t="str">
        <f>IF($B207="","",IF(AND($B$2="Salary Points 3 to 57",B207&lt;Thresholds_Rates!$C$16),"-",IF(SUMIF(Grades!$A:$A,$B$2,Grades!$BO:$BO)=0,"-",IF(AND($B$2="Salary Points 3 to 57",B207&gt;=Thresholds_Rates!$C$16),$C207*Thresholds_Rates!$F$15,IF(AND(OR($B$2="New Consultant Contract"),$B207&lt;&gt;""),$C207*Thresholds_Rates!$F$15,IF(AND(OR($B$2="Clinical Lecturer / Medical Research Fellow",$B$2="Clinical Consultant - Old Contract (GP)"),$B207&lt;&gt;""),$C207*Thresholds_Rates!$F$15,IF(OR($B$2="APM Level 7",$B$2="R&amp;T Level 7"),$C207*Thresholds_Rates!$F$15,IF(SUMIF(Grades!$A:$A,$B$2,Grades!$BO:$BO)=1,$C207*Thresholds_Rates!$F$15,""))))))))</f>
        <v/>
      </c>
      <c r="M207" s="81" t="str">
        <f t="shared" si="17"/>
        <v/>
      </c>
      <c r="N207" s="81" t="str">
        <f t="shared" si="18"/>
        <v/>
      </c>
      <c r="O207" s="81" t="str">
        <f t="shared" si="19"/>
        <v/>
      </c>
      <c r="P207" s="81" t="str">
        <f t="shared" si="20"/>
        <v/>
      </c>
      <c r="Q207" s="81" t="str">
        <f t="shared" si="21"/>
        <v/>
      </c>
    </row>
    <row r="208" spans="6:17" x14ac:dyDescent="0.25">
      <c r="F208" s="81" t="str">
        <f>IF($B208="","",IF(AND($B$2="Salary Points 3 to 57",B208&lt;Thresholds_Rates!$C$16),"-",IF(SUMIF(Grades!$A:$A,$B$2,Grades!$BO:$BO)=0,"-",IF(AND($B$2="Salary Points 3 to 57",B208&gt;=Thresholds_Rates!$C$16),$C208*Thresholds_Rates!$F$15,IF(AND(OR($B$2="New Consultant Contract"),$B208&lt;&gt;""),$C208*Thresholds_Rates!$F$15,IF(AND(OR($B$2="Clinical Lecturer / Medical Research Fellow",$B$2="Clinical Consultant - Old Contract (GP)"),$B208&lt;&gt;""),$C208*Thresholds_Rates!$F$15,IF(OR($B$2="APM Level 7",$B$2="R&amp;T Level 7"),$C208*Thresholds_Rates!$F$15,IF(SUMIF(Grades!$A:$A,$B$2,Grades!$BO:$BO)=1,$C208*Thresholds_Rates!$F$15,""))))))))</f>
        <v/>
      </c>
      <c r="M208" s="81" t="str">
        <f t="shared" si="17"/>
        <v/>
      </c>
      <c r="N208" s="81" t="str">
        <f t="shared" si="18"/>
        <v/>
      </c>
      <c r="O208" s="81" t="str">
        <f t="shared" si="19"/>
        <v/>
      </c>
      <c r="P208" s="81" t="str">
        <f t="shared" si="20"/>
        <v/>
      </c>
      <c r="Q208" s="81" t="str">
        <f t="shared" si="21"/>
        <v/>
      </c>
    </row>
    <row r="209" spans="6:17" x14ac:dyDescent="0.25">
      <c r="F209" s="81" t="str">
        <f>IF($B209="","",IF(AND($B$2="Salary Points 3 to 57",B209&lt;Thresholds_Rates!$C$16),"-",IF(SUMIF(Grades!$A:$A,$B$2,Grades!$BO:$BO)=0,"-",IF(AND($B$2="Salary Points 3 to 57",B209&gt;=Thresholds_Rates!$C$16),$C209*Thresholds_Rates!$F$15,IF(AND(OR($B$2="New Consultant Contract"),$B209&lt;&gt;""),$C209*Thresholds_Rates!$F$15,IF(AND(OR($B$2="Clinical Lecturer / Medical Research Fellow",$B$2="Clinical Consultant - Old Contract (GP)"),$B209&lt;&gt;""),$C209*Thresholds_Rates!$F$15,IF(OR($B$2="APM Level 7",$B$2="R&amp;T Level 7"),$C209*Thresholds_Rates!$F$15,IF(SUMIF(Grades!$A:$A,$B$2,Grades!$BO:$BO)=1,$C209*Thresholds_Rates!$F$15,""))))))))</f>
        <v/>
      </c>
      <c r="M209" s="81" t="str">
        <f t="shared" si="17"/>
        <v/>
      </c>
      <c r="N209" s="81" t="str">
        <f t="shared" si="18"/>
        <v/>
      </c>
      <c r="O209" s="81" t="str">
        <f t="shared" si="19"/>
        <v/>
      </c>
      <c r="P209" s="81" t="str">
        <f t="shared" si="20"/>
        <v/>
      </c>
      <c r="Q209" s="81" t="str">
        <f t="shared" si="21"/>
        <v/>
      </c>
    </row>
    <row r="210" spans="6:17" x14ac:dyDescent="0.25">
      <c r="F210" s="81" t="str">
        <f>IF($B210="","",IF(AND($B$2="Salary Points 3 to 57",B210&lt;Thresholds_Rates!$C$16),"-",IF(SUMIF(Grades!$A:$A,$B$2,Grades!$BO:$BO)=0,"-",IF(AND($B$2="Salary Points 3 to 57",B210&gt;=Thresholds_Rates!$C$16),$C210*Thresholds_Rates!$F$15,IF(AND(OR($B$2="New Consultant Contract"),$B210&lt;&gt;""),$C210*Thresholds_Rates!$F$15,IF(AND(OR($B$2="Clinical Lecturer / Medical Research Fellow",$B$2="Clinical Consultant - Old Contract (GP)"),$B210&lt;&gt;""),$C210*Thresholds_Rates!$F$15,IF(OR($B$2="APM Level 7",$B$2="R&amp;T Level 7"),$C210*Thresholds_Rates!$F$15,IF(SUMIF(Grades!$A:$A,$B$2,Grades!$BO:$BO)=1,$C210*Thresholds_Rates!$F$15,""))))))))</f>
        <v/>
      </c>
      <c r="M210" s="81" t="str">
        <f t="shared" si="17"/>
        <v/>
      </c>
      <c r="N210" s="81" t="str">
        <f t="shared" si="18"/>
        <v/>
      </c>
      <c r="O210" s="81" t="str">
        <f t="shared" si="19"/>
        <v/>
      </c>
      <c r="P210" s="81" t="str">
        <f t="shared" si="20"/>
        <v/>
      </c>
      <c r="Q210" s="81" t="str">
        <f t="shared" si="21"/>
        <v/>
      </c>
    </row>
    <row r="211" spans="6:17" x14ac:dyDescent="0.25">
      <c r="F211" s="81" t="str">
        <f>IF($B211="","",IF(AND($B$2="Salary Points 3 to 57",B211&lt;Thresholds_Rates!$C$16),"-",IF(SUMIF(Grades!$A:$A,$B$2,Grades!$BO:$BO)=0,"-",IF(AND($B$2="Salary Points 3 to 57",B211&gt;=Thresholds_Rates!$C$16),$C211*Thresholds_Rates!$F$15,IF(AND(OR($B$2="New Consultant Contract"),$B211&lt;&gt;""),$C211*Thresholds_Rates!$F$15,IF(AND(OR($B$2="Clinical Lecturer / Medical Research Fellow",$B$2="Clinical Consultant - Old Contract (GP)"),$B211&lt;&gt;""),$C211*Thresholds_Rates!$F$15,IF(OR($B$2="APM Level 7",$B$2="R&amp;T Level 7"),$C211*Thresholds_Rates!$F$15,IF(SUMIF(Grades!$A:$A,$B$2,Grades!$BO:$BO)=1,$C211*Thresholds_Rates!$F$15,""))))))))</f>
        <v/>
      </c>
      <c r="M211" s="81" t="str">
        <f t="shared" si="17"/>
        <v/>
      </c>
      <c r="N211" s="81" t="str">
        <f t="shared" si="18"/>
        <v/>
      </c>
      <c r="O211" s="81" t="str">
        <f t="shared" si="19"/>
        <v/>
      </c>
      <c r="P211" s="81" t="str">
        <f t="shared" si="20"/>
        <v/>
      </c>
      <c r="Q211" s="81" t="str">
        <f t="shared" si="21"/>
        <v/>
      </c>
    </row>
    <row r="212" spans="6:17" x14ac:dyDescent="0.25">
      <c r="F212" s="81" t="str">
        <f>IF($B212="","",IF(AND($B$2="Salary Points 3 to 57",B212&lt;Thresholds_Rates!$C$16),"-",IF(SUMIF(Grades!$A:$A,$B$2,Grades!$BO:$BO)=0,"-",IF(AND($B$2="Salary Points 3 to 57",B212&gt;=Thresholds_Rates!$C$16),$C212*Thresholds_Rates!$F$15,IF(AND(OR($B$2="New Consultant Contract"),$B212&lt;&gt;""),$C212*Thresholds_Rates!$F$15,IF(AND(OR($B$2="Clinical Lecturer / Medical Research Fellow",$B$2="Clinical Consultant - Old Contract (GP)"),$B212&lt;&gt;""),$C212*Thresholds_Rates!$F$15,IF(OR($B$2="APM Level 7",$B$2="R&amp;T Level 7"),$C212*Thresholds_Rates!$F$15,IF(SUMIF(Grades!$A:$A,$B$2,Grades!$BO:$BO)=1,$C212*Thresholds_Rates!$F$15,""))))))))</f>
        <v/>
      </c>
      <c r="M212" s="81" t="str">
        <f t="shared" si="17"/>
        <v/>
      </c>
      <c r="N212" s="81" t="str">
        <f t="shared" si="18"/>
        <v/>
      </c>
      <c r="O212" s="81" t="str">
        <f t="shared" si="19"/>
        <v/>
      </c>
      <c r="P212" s="81" t="str">
        <f t="shared" si="20"/>
        <v/>
      </c>
      <c r="Q212" s="81" t="str">
        <f t="shared" si="21"/>
        <v/>
      </c>
    </row>
    <row r="213" spans="6:17" x14ac:dyDescent="0.25">
      <c r="F213" s="81" t="str">
        <f>IF($B213="","",IF(AND($B$2="Salary Points 3 to 57",B213&lt;Thresholds_Rates!$C$16),"-",IF(SUMIF(Grades!$A:$A,$B$2,Grades!$BO:$BO)=0,"-",IF(AND($B$2="Salary Points 3 to 57",B213&gt;=Thresholds_Rates!$C$16),$C213*Thresholds_Rates!$F$15,IF(AND(OR($B$2="New Consultant Contract"),$B213&lt;&gt;""),$C213*Thresholds_Rates!$F$15,IF(AND(OR($B$2="Clinical Lecturer / Medical Research Fellow",$B$2="Clinical Consultant - Old Contract (GP)"),$B213&lt;&gt;""),$C213*Thresholds_Rates!$F$15,IF(OR($B$2="APM Level 7",$B$2="R&amp;T Level 7"),$C213*Thresholds_Rates!$F$15,IF(SUMIF(Grades!$A:$A,$B$2,Grades!$BO:$BO)=1,$C213*Thresholds_Rates!$F$15,""))))))))</f>
        <v/>
      </c>
      <c r="M213" s="81" t="str">
        <f t="shared" si="17"/>
        <v/>
      </c>
      <c r="N213" s="81" t="str">
        <f t="shared" si="18"/>
        <v/>
      </c>
      <c r="O213" s="81" t="str">
        <f t="shared" si="19"/>
        <v/>
      </c>
      <c r="P213" s="81" t="str">
        <f t="shared" si="20"/>
        <v/>
      </c>
      <c r="Q213" s="81" t="str">
        <f t="shared" si="21"/>
        <v/>
      </c>
    </row>
    <row r="214" spans="6:17" x14ac:dyDescent="0.25">
      <c r="F214" s="81" t="str">
        <f>IF($B214="","",IF(AND($B$2="Salary Points 3 to 57",B214&lt;Thresholds_Rates!$C$16),"-",IF(SUMIF(Grades!$A:$A,$B$2,Grades!$BO:$BO)=0,"-",IF(AND($B$2="Salary Points 3 to 57",B214&gt;=Thresholds_Rates!$C$16),$C214*Thresholds_Rates!$F$15,IF(AND(OR($B$2="New Consultant Contract"),$B214&lt;&gt;""),$C214*Thresholds_Rates!$F$15,IF(AND(OR($B$2="Clinical Lecturer / Medical Research Fellow",$B$2="Clinical Consultant - Old Contract (GP)"),$B214&lt;&gt;""),$C214*Thresholds_Rates!$F$15,IF(OR($B$2="APM Level 7",$B$2="R&amp;T Level 7"),$C214*Thresholds_Rates!$F$15,IF(SUMIF(Grades!$A:$A,$B$2,Grades!$BO:$BO)=1,$C214*Thresholds_Rates!$F$15,""))))))))</f>
        <v/>
      </c>
      <c r="M214" s="81" t="str">
        <f t="shared" si="17"/>
        <v/>
      </c>
      <c r="N214" s="81" t="str">
        <f t="shared" si="18"/>
        <v/>
      </c>
      <c r="O214" s="81" t="str">
        <f t="shared" si="19"/>
        <v/>
      </c>
      <c r="P214" s="81" t="str">
        <f t="shared" si="20"/>
        <v/>
      </c>
      <c r="Q214" s="81" t="str">
        <f t="shared" si="21"/>
        <v/>
      </c>
    </row>
    <row r="215" spans="6:17" x14ac:dyDescent="0.25">
      <c r="F215" s="81" t="str">
        <f>IF($B215="","",IF(AND($B$2="Salary Points 3 to 57",B215&lt;Thresholds_Rates!$C$16),"-",IF(SUMIF(Grades!$A:$A,$B$2,Grades!$BO:$BO)=0,"-",IF(AND($B$2="Salary Points 3 to 57",B215&gt;=Thresholds_Rates!$C$16),$C215*Thresholds_Rates!$F$15,IF(AND(OR($B$2="New Consultant Contract"),$B215&lt;&gt;""),$C215*Thresholds_Rates!$F$15,IF(AND(OR($B$2="Clinical Lecturer / Medical Research Fellow",$B$2="Clinical Consultant - Old Contract (GP)"),$B215&lt;&gt;""),$C215*Thresholds_Rates!$F$15,IF(OR($B$2="APM Level 7",$B$2="R&amp;T Level 7"),$C215*Thresholds_Rates!$F$15,IF(SUMIF(Grades!$A:$A,$B$2,Grades!$BO:$BO)=1,$C215*Thresholds_Rates!$F$15,""))))))))</f>
        <v/>
      </c>
      <c r="M215" s="81" t="str">
        <f t="shared" si="17"/>
        <v/>
      </c>
      <c r="N215" s="81" t="str">
        <f t="shared" si="18"/>
        <v/>
      </c>
      <c r="O215" s="81" t="str">
        <f t="shared" si="19"/>
        <v/>
      </c>
      <c r="P215" s="81" t="str">
        <f t="shared" si="20"/>
        <v/>
      </c>
      <c r="Q215" s="81" t="str">
        <f t="shared" si="21"/>
        <v/>
      </c>
    </row>
    <row r="216" spans="6:17" x14ac:dyDescent="0.25">
      <c r="F216" s="81" t="str">
        <f>IF($B216="","",IF(AND($B$2="Salary Points 3 to 57",B216&lt;Thresholds_Rates!$C$16),"-",IF(SUMIF(Grades!$A:$A,$B$2,Grades!$BO:$BO)=0,"-",IF(AND($B$2="Salary Points 3 to 57",B216&gt;=Thresholds_Rates!$C$16),$C216*Thresholds_Rates!$F$15,IF(AND(OR($B$2="New Consultant Contract"),$B216&lt;&gt;""),$C216*Thresholds_Rates!$F$15,IF(AND(OR($B$2="Clinical Lecturer / Medical Research Fellow",$B$2="Clinical Consultant - Old Contract (GP)"),$B216&lt;&gt;""),$C216*Thresholds_Rates!$F$15,IF(OR($B$2="APM Level 7",$B$2="R&amp;T Level 7"),$C216*Thresholds_Rates!$F$15,IF(SUMIF(Grades!$A:$A,$B$2,Grades!$BO:$BO)=1,$C216*Thresholds_Rates!$F$15,""))))))))</f>
        <v/>
      </c>
      <c r="M216" s="81" t="str">
        <f t="shared" si="17"/>
        <v/>
      </c>
      <c r="N216" s="81" t="str">
        <f t="shared" si="18"/>
        <v/>
      </c>
      <c r="O216" s="81" t="str">
        <f t="shared" si="19"/>
        <v/>
      </c>
      <c r="P216" s="81" t="str">
        <f t="shared" si="20"/>
        <v/>
      </c>
      <c r="Q216" s="81" t="str">
        <f t="shared" si="21"/>
        <v/>
      </c>
    </row>
    <row r="217" spans="6:17" x14ac:dyDescent="0.25">
      <c r="F217" s="81" t="str">
        <f>IF($B217="","",IF(AND($B$2="Salary Points 3 to 57",B217&lt;Thresholds_Rates!$C$16),"-",IF(SUMIF(Grades!$A:$A,$B$2,Grades!$BO:$BO)=0,"-",IF(AND($B$2="Salary Points 3 to 57",B217&gt;=Thresholds_Rates!$C$16),$C217*Thresholds_Rates!$F$15,IF(AND(OR($B$2="New Consultant Contract"),$B217&lt;&gt;""),$C217*Thresholds_Rates!$F$15,IF(AND(OR($B$2="Clinical Lecturer / Medical Research Fellow",$B$2="Clinical Consultant - Old Contract (GP)"),$B217&lt;&gt;""),$C217*Thresholds_Rates!$F$15,IF(OR($B$2="APM Level 7",$B$2="R&amp;T Level 7"),$C217*Thresholds_Rates!$F$15,IF(SUMIF(Grades!$A:$A,$B$2,Grades!$BO:$BO)=1,$C217*Thresholds_Rates!$F$15,""))))))))</f>
        <v/>
      </c>
      <c r="M217" s="81" t="str">
        <f t="shared" si="17"/>
        <v/>
      </c>
      <c r="N217" s="81" t="str">
        <f t="shared" si="18"/>
        <v/>
      </c>
      <c r="O217" s="81" t="str">
        <f t="shared" si="19"/>
        <v/>
      </c>
      <c r="P217" s="81" t="str">
        <f t="shared" si="20"/>
        <v/>
      </c>
      <c r="Q217" s="81" t="str">
        <f t="shared" si="21"/>
        <v/>
      </c>
    </row>
    <row r="218" spans="6:17" x14ac:dyDescent="0.25">
      <c r="F218" s="81" t="str">
        <f>IF($B218="","",IF(AND($B$2="Salary Points 3 to 57",B218&lt;Thresholds_Rates!$C$16),"-",IF(SUMIF(Grades!$A:$A,$B$2,Grades!$BO:$BO)=0,"-",IF(AND($B$2="Salary Points 3 to 57",B218&gt;=Thresholds_Rates!$C$16),$C218*Thresholds_Rates!$F$15,IF(AND(OR($B$2="New Consultant Contract"),$B218&lt;&gt;""),$C218*Thresholds_Rates!$F$15,IF(AND(OR($B$2="Clinical Lecturer / Medical Research Fellow",$B$2="Clinical Consultant - Old Contract (GP)"),$B218&lt;&gt;""),$C218*Thresholds_Rates!$F$15,IF(OR($B$2="APM Level 7",$B$2="R&amp;T Level 7"),$C218*Thresholds_Rates!$F$15,IF(SUMIF(Grades!$A:$A,$B$2,Grades!$BO:$BO)=1,$C218*Thresholds_Rates!$F$15,""))))))))</f>
        <v/>
      </c>
      <c r="M218" s="81" t="str">
        <f t="shared" si="17"/>
        <v/>
      </c>
      <c r="N218" s="81" t="str">
        <f t="shared" si="18"/>
        <v/>
      </c>
      <c r="O218" s="81" t="str">
        <f t="shared" si="19"/>
        <v/>
      </c>
      <c r="P218" s="81" t="str">
        <f t="shared" si="20"/>
        <v/>
      </c>
      <c r="Q218" s="81" t="str">
        <f t="shared" si="21"/>
        <v/>
      </c>
    </row>
    <row r="219" spans="6:17" x14ac:dyDescent="0.25">
      <c r="F219" s="81" t="str">
        <f>IF($B219="","",IF(AND($B$2="Salary Points 3 to 57",B219&lt;Thresholds_Rates!$C$16),"-",IF(SUMIF(Grades!$A:$A,$B$2,Grades!$BO:$BO)=0,"-",IF(AND($B$2="Salary Points 3 to 57",B219&gt;=Thresholds_Rates!$C$16),$C219*Thresholds_Rates!$F$15,IF(AND(OR($B$2="New Consultant Contract"),$B219&lt;&gt;""),$C219*Thresholds_Rates!$F$15,IF(AND(OR($B$2="Clinical Lecturer / Medical Research Fellow",$B$2="Clinical Consultant - Old Contract (GP)"),$B219&lt;&gt;""),$C219*Thresholds_Rates!$F$15,IF(OR($B$2="APM Level 7",$B$2="R&amp;T Level 7"),$C219*Thresholds_Rates!$F$15,IF(SUMIF(Grades!$A:$A,$B$2,Grades!$BO:$BO)=1,$C219*Thresholds_Rates!$F$15,""))))))))</f>
        <v/>
      </c>
      <c r="M219" s="81" t="str">
        <f t="shared" si="17"/>
        <v/>
      </c>
      <c r="N219" s="81" t="str">
        <f t="shared" si="18"/>
        <v/>
      </c>
      <c r="O219" s="81" t="str">
        <f t="shared" si="19"/>
        <v/>
      </c>
      <c r="P219" s="81" t="str">
        <f t="shared" si="20"/>
        <v/>
      </c>
      <c r="Q219" s="81" t="str">
        <f t="shared" si="21"/>
        <v/>
      </c>
    </row>
    <row r="220" spans="6:17" x14ac:dyDescent="0.25">
      <c r="F220" s="81" t="str">
        <f>IF($B220="","",IF(AND($B$2="Salary Points 3 to 57",B220&lt;Thresholds_Rates!$C$16),"-",IF(SUMIF(Grades!$A:$A,$B$2,Grades!$BO:$BO)=0,"-",IF(AND($B$2="Salary Points 3 to 57",B220&gt;=Thresholds_Rates!$C$16),$C220*Thresholds_Rates!$F$15,IF(AND(OR($B$2="New Consultant Contract"),$B220&lt;&gt;""),$C220*Thresholds_Rates!$F$15,IF(AND(OR($B$2="Clinical Lecturer / Medical Research Fellow",$B$2="Clinical Consultant - Old Contract (GP)"),$B220&lt;&gt;""),$C220*Thresholds_Rates!$F$15,IF(OR($B$2="APM Level 7",$B$2="R&amp;T Level 7"),$C220*Thresholds_Rates!$F$15,IF(SUMIF(Grades!$A:$A,$B$2,Grades!$BO:$BO)=1,$C220*Thresholds_Rates!$F$15,""))))))))</f>
        <v/>
      </c>
      <c r="M220" s="81" t="str">
        <f t="shared" si="17"/>
        <v/>
      </c>
      <c r="N220" s="81" t="str">
        <f t="shared" si="18"/>
        <v/>
      </c>
      <c r="O220" s="81" t="str">
        <f t="shared" si="19"/>
        <v/>
      </c>
      <c r="P220" s="81" t="str">
        <f t="shared" si="20"/>
        <v/>
      </c>
      <c r="Q220" s="81" t="str">
        <f t="shared" si="21"/>
        <v/>
      </c>
    </row>
    <row r="221" spans="6:17" x14ac:dyDescent="0.25">
      <c r="F221" s="81" t="str">
        <f>IF($B221="","",IF(AND($B$2="Salary Points 3 to 57",B221&lt;Thresholds_Rates!$C$16),"-",IF(SUMIF(Grades!$A:$A,$B$2,Grades!$BO:$BO)=0,"-",IF(AND($B$2="Salary Points 3 to 57",B221&gt;=Thresholds_Rates!$C$16),$C221*Thresholds_Rates!$F$15,IF(AND(OR($B$2="New Consultant Contract"),$B221&lt;&gt;""),$C221*Thresholds_Rates!$F$15,IF(AND(OR($B$2="Clinical Lecturer / Medical Research Fellow",$B$2="Clinical Consultant - Old Contract (GP)"),$B221&lt;&gt;""),$C221*Thresholds_Rates!$F$15,IF(OR($B$2="APM Level 7",$B$2="R&amp;T Level 7"),$C221*Thresholds_Rates!$F$15,IF(SUMIF(Grades!$A:$A,$B$2,Grades!$BO:$BO)=1,$C221*Thresholds_Rates!$F$15,""))))))))</f>
        <v/>
      </c>
      <c r="M221" s="81" t="str">
        <f t="shared" si="17"/>
        <v/>
      </c>
      <c r="N221" s="81" t="str">
        <f t="shared" si="18"/>
        <v/>
      </c>
      <c r="O221" s="81" t="str">
        <f t="shared" si="19"/>
        <v/>
      </c>
      <c r="P221" s="81" t="str">
        <f t="shared" si="20"/>
        <v/>
      </c>
      <c r="Q221" s="81" t="str">
        <f t="shared" si="21"/>
        <v/>
      </c>
    </row>
    <row r="222" spans="6:17" x14ac:dyDescent="0.25">
      <c r="F222" s="81" t="str">
        <f>IF($B222="","",IF(AND($B$2="Salary Points 3 to 57",B222&lt;Thresholds_Rates!$C$16),"-",IF(SUMIF(Grades!$A:$A,$B$2,Grades!$BO:$BO)=0,"-",IF(AND($B$2="Salary Points 3 to 57",B222&gt;=Thresholds_Rates!$C$16),$C222*Thresholds_Rates!$F$15,IF(AND(OR($B$2="New Consultant Contract"),$B222&lt;&gt;""),$C222*Thresholds_Rates!$F$15,IF(AND(OR($B$2="Clinical Lecturer / Medical Research Fellow",$B$2="Clinical Consultant - Old Contract (GP)"),$B222&lt;&gt;""),$C222*Thresholds_Rates!$F$15,IF(OR($B$2="APM Level 7",$B$2="R&amp;T Level 7"),$C222*Thresholds_Rates!$F$15,IF(SUMIF(Grades!$A:$A,$B$2,Grades!$BO:$BO)=1,$C222*Thresholds_Rates!$F$15,""))))))))</f>
        <v/>
      </c>
      <c r="M222" s="81" t="str">
        <f t="shared" si="17"/>
        <v/>
      </c>
      <c r="N222" s="81" t="str">
        <f t="shared" si="18"/>
        <v/>
      </c>
      <c r="O222" s="81" t="str">
        <f t="shared" si="19"/>
        <v/>
      </c>
      <c r="P222" s="81" t="str">
        <f t="shared" si="20"/>
        <v/>
      </c>
      <c r="Q222" s="81" t="str">
        <f t="shared" si="21"/>
        <v/>
      </c>
    </row>
    <row r="223" spans="6:17" x14ac:dyDescent="0.25">
      <c r="F223" s="81" t="str">
        <f>IF($B223="","",IF(AND($B$2="Salary Points 3 to 57",B223&lt;Thresholds_Rates!$C$16),"-",IF(SUMIF(Grades!$A:$A,$B$2,Grades!$BO:$BO)=0,"-",IF(AND($B$2="Salary Points 3 to 57",B223&gt;=Thresholds_Rates!$C$16),$C223*Thresholds_Rates!$F$15,IF(AND(OR($B$2="New Consultant Contract"),$B223&lt;&gt;""),$C223*Thresholds_Rates!$F$15,IF(AND(OR($B$2="Clinical Lecturer / Medical Research Fellow",$B$2="Clinical Consultant - Old Contract (GP)"),$B223&lt;&gt;""),$C223*Thresholds_Rates!$F$15,IF(OR($B$2="APM Level 7",$B$2="R&amp;T Level 7"),$C223*Thresholds_Rates!$F$15,IF(SUMIF(Grades!$A:$A,$B$2,Grades!$BO:$BO)=1,$C223*Thresholds_Rates!$F$15,""))))))))</f>
        <v/>
      </c>
      <c r="M223" s="81" t="str">
        <f t="shared" si="17"/>
        <v/>
      </c>
      <c r="N223" s="81" t="str">
        <f t="shared" si="18"/>
        <v/>
      </c>
      <c r="O223" s="81" t="str">
        <f t="shared" si="19"/>
        <v/>
      </c>
      <c r="P223" s="81" t="str">
        <f t="shared" si="20"/>
        <v/>
      </c>
      <c r="Q223" s="81" t="str">
        <f t="shared" si="21"/>
        <v/>
      </c>
    </row>
    <row r="224" spans="6:17" x14ac:dyDescent="0.25">
      <c r="F224" s="81" t="str">
        <f>IF($B224="","",IF(AND($B$2="Salary Points 3 to 57",B224&lt;Thresholds_Rates!$C$16),"-",IF(SUMIF(Grades!$A:$A,$B$2,Grades!$BO:$BO)=0,"-",IF(AND($B$2="Salary Points 3 to 57",B224&gt;=Thresholds_Rates!$C$16),$C224*Thresholds_Rates!$F$15,IF(AND(OR($B$2="New Consultant Contract"),$B224&lt;&gt;""),$C224*Thresholds_Rates!$F$15,IF(AND(OR($B$2="Clinical Lecturer / Medical Research Fellow",$B$2="Clinical Consultant - Old Contract (GP)"),$B224&lt;&gt;""),$C224*Thresholds_Rates!$F$15,IF(OR($B$2="APM Level 7",$B$2="R&amp;T Level 7"),$C224*Thresholds_Rates!$F$15,IF(SUMIF(Grades!$A:$A,$B$2,Grades!$BO:$BO)=1,$C224*Thresholds_Rates!$F$15,""))))))))</f>
        <v/>
      </c>
      <c r="M224" s="81" t="str">
        <f t="shared" si="17"/>
        <v/>
      </c>
      <c r="N224" s="81" t="str">
        <f t="shared" si="18"/>
        <v/>
      </c>
      <c r="O224" s="81" t="str">
        <f t="shared" si="19"/>
        <v/>
      </c>
      <c r="P224" s="81" t="str">
        <f t="shared" si="20"/>
        <v/>
      </c>
      <c r="Q224" s="81" t="str">
        <f t="shared" si="21"/>
        <v/>
      </c>
    </row>
    <row r="225" spans="6:17" x14ac:dyDescent="0.25">
      <c r="F225" s="81" t="str">
        <f>IF($B225="","",IF(AND($B$2="Salary Points 3 to 57",B225&lt;Thresholds_Rates!$C$16),"-",IF(SUMIF(Grades!$A:$A,$B$2,Grades!$BO:$BO)=0,"-",IF(AND($B$2="Salary Points 3 to 57",B225&gt;=Thresholds_Rates!$C$16),$C225*Thresholds_Rates!$F$15,IF(AND(OR($B$2="New Consultant Contract"),$B225&lt;&gt;""),$C225*Thresholds_Rates!$F$15,IF(AND(OR($B$2="Clinical Lecturer / Medical Research Fellow",$B$2="Clinical Consultant - Old Contract (GP)"),$B225&lt;&gt;""),$C225*Thresholds_Rates!$F$15,IF(OR($B$2="APM Level 7",$B$2="R&amp;T Level 7"),$C225*Thresholds_Rates!$F$15,IF(SUMIF(Grades!$A:$A,$B$2,Grades!$BO:$BO)=1,$C225*Thresholds_Rates!$F$15,""))))))))</f>
        <v/>
      </c>
      <c r="M225" s="81" t="str">
        <f t="shared" si="17"/>
        <v/>
      </c>
      <c r="N225" s="81" t="str">
        <f t="shared" si="18"/>
        <v/>
      </c>
      <c r="O225" s="81" t="str">
        <f t="shared" si="19"/>
        <v/>
      </c>
      <c r="P225" s="81" t="str">
        <f t="shared" si="20"/>
        <v/>
      </c>
      <c r="Q225" s="81" t="str">
        <f t="shared" si="21"/>
        <v/>
      </c>
    </row>
    <row r="226" spans="6:17" x14ac:dyDescent="0.25">
      <c r="F226" s="81" t="str">
        <f>IF($B226="","",IF(AND($B$2="Salary Points 3 to 57",B226&lt;Thresholds_Rates!$C$16),"-",IF(SUMIF(Grades!$A:$A,$B$2,Grades!$BO:$BO)=0,"-",IF(AND($B$2="Salary Points 3 to 57",B226&gt;=Thresholds_Rates!$C$16),$C226*Thresholds_Rates!$F$15,IF(AND(OR($B$2="New Consultant Contract"),$B226&lt;&gt;""),$C226*Thresholds_Rates!$F$15,IF(AND(OR($B$2="Clinical Lecturer / Medical Research Fellow",$B$2="Clinical Consultant - Old Contract (GP)"),$B226&lt;&gt;""),$C226*Thresholds_Rates!$F$15,IF(OR($B$2="APM Level 7",$B$2="R&amp;T Level 7"),$C226*Thresholds_Rates!$F$15,IF(SUMIF(Grades!$A:$A,$B$2,Grades!$BO:$BO)=1,$C226*Thresholds_Rates!$F$15,""))))))))</f>
        <v/>
      </c>
      <c r="M226" s="81" t="str">
        <f t="shared" si="17"/>
        <v/>
      </c>
      <c r="N226" s="81" t="str">
        <f t="shared" si="18"/>
        <v/>
      </c>
      <c r="O226" s="81" t="str">
        <f t="shared" si="19"/>
        <v/>
      </c>
      <c r="P226" s="81" t="str">
        <f t="shared" si="20"/>
        <v/>
      </c>
      <c r="Q226" s="81" t="str">
        <f t="shared" si="21"/>
        <v/>
      </c>
    </row>
    <row r="227" spans="6:17" x14ac:dyDescent="0.25">
      <c r="F227" s="81" t="str">
        <f>IF($B227="","",IF(AND($B$2="Salary Points 3 to 57",B227&lt;Thresholds_Rates!$C$16),"-",IF(SUMIF(Grades!$A:$A,$B$2,Grades!$BO:$BO)=0,"-",IF(AND($B$2="Salary Points 3 to 57",B227&gt;=Thresholds_Rates!$C$16),$C227*Thresholds_Rates!$F$15,IF(AND(OR($B$2="New Consultant Contract"),$B227&lt;&gt;""),$C227*Thresholds_Rates!$F$15,IF(AND(OR($B$2="Clinical Lecturer / Medical Research Fellow",$B$2="Clinical Consultant - Old Contract (GP)"),$B227&lt;&gt;""),$C227*Thresholds_Rates!$F$15,IF(OR($B$2="APM Level 7",$B$2="R&amp;T Level 7"),$C227*Thresholds_Rates!$F$15,IF(SUMIF(Grades!$A:$A,$B$2,Grades!$BO:$BO)=1,$C227*Thresholds_Rates!$F$15,""))))))))</f>
        <v/>
      </c>
      <c r="M227" s="81" t="str">
        <f t="shared" si="17"/>
        <v/>
      </c>
      <c r="N227" s="81" t="str">
        <f t="shared" si="18"/>
        <v/>
      </c>
      <c r="O227" s="81" t="str">
        <f t="shared" si="19"/>
        <v/>
      </c>
      <c r="P227" s="81" t="str">
        <f t="shared" si="20"/>
        <v/>
      </c>
      <c r="Q227" s="81" t="str">
        <f t="shared" si="21"/>
        <v/>
      </c>
    </row>
    <row r="228" spans="6:17" x14ac:dyDescent="0.25">
      <c r="F228" s="81" t="str">
        <f>IF($B228="","",IF(AND($B$2="Salary Points 3 to 57",B228&lt;Thresholds_Rates!$C$16),"-",IF(SUMIF(Grades!$A:$A,$B$2,Grades!$BO:$BO)=0,"-",IF(AND($B$2="Salary Points 3 to 57",B228&gt;=Thresholds_Rates!$C$16),$C228*Thresholds_Rates!$F$15,IF(AND(OR($B$2="New Consultant Contract"),$B228&lt;&gt;""),$C228*Thresholds_Rates!$F$15,IF(AND(OR($B$2="Clinical Lecturer / Medical Research Fellow",$B$2="Clinical Consultant - Old Contract (GP)"),$B228&lt;&gt;""),$C228*Thresholds_Rates!$F$15,IF(OR($B$2="APM Level 7",$B$2="R&amp;T Level 7"),$C228*Thresholds_Rates!$F$15,IF(SUMIF(Grades!$A:$A,$B$2,Grades!$BO:$BO)=1,$C228*Thresholds_Rates!$F$15,""))))))))</f>
        <v/>
      </c>
      <c r="M228" s="81" t="str">
        <f t="shared" si="17"/>
        <v/>
      </c>
      <c r="N228" s="81" t="str">
        <f t="shared" si="18"/>
        <v/>
      </c>
      <c r="O228" s="81" t="str">
        <f t="shared" si="19"/>
        <v/>
      </c>
      <c r="P228" s="81" t="str">
        <f t="shared" si="20"/>
        <v/>
      </c>
      <c r="Q228" s="81" t="str">
        <f t="shared" si="21"/>
        <v/>
      </c>
    </row>
    <row r="229" spans="6:17" x14ac:dyDescent="0.25">
      <c r="F229" s="81" t="str">
        <f>IF($B229="","",IF(AND($B$2="Salary Points 3 to 57",B229&lt;Thresholds_Rates!$C$16),"-",IF(SUMIF(Grades!$A:$A,$B$2,Grades!$BO:$BO)=0,"-",IF(AND($B$2="Salary Points 3 to 57",B229&gt;=Thresholds_Rates!$C$16),$C229*Thresholds_Rates!$F$15,IF(AND(OR($B$2="New Consultant Contract"),$B229&lt;&gt;""),$C229*Thresholds_Rates!$F$15,IF(AND(OR($B$2="Clinical Lecturer / Medical Research Fellow",$B$2="Clinical Consultant - Old Contract (GP)"),$B229&lt;&gt;""),$C229*Thresholds_Rates!$F$15,IF(OR($B$2="APM Level 7",$B$2="R&amp;T Level 7"),$C229*Thresholds_Rates!$F$15,IF(SUMIF(Grades!$A:$A,$B$2,Grades!$BO:$BO)=1,$C229*Thresholds_Rates!$F$15,""))))))))</f>
        <v/>
      </c>
      <c r="M229" s="81" t="str">
        <f t="shared" si="17"/>
        <v/>
      </c>
      <c r="N229" s="81" t="str">
        <f t="shared" si="18"/>
        <v/>
      </c>
      <c r="O229" s="81" t="str">
        <f t="shared" si="19"/>
        <v/>
      </c>
      <c r="P229" s="81" t="str">
        <f t="shared" si="20"/>
        <v/>
      </c>
      <c r="Q229" s="81" t="str">
        <f t="shared" si="21"/>
        <v/>
      </c>
    </row>
    <row r="230" spans="6:17" x14ac:dyDescent="0.25">
      <c r="F230" s="81" t="str">
        <f>IF($B230="","",IF(AND($B$2="Salary Points 3 to 57",B230&lt;Thresholds_Rates!$C$16),"-",IF(SUMIF(Grades!$A:$A,$B$2,Grades!$BO:$BO)=0,"-",IF(AND($B$2="Salary Points 3 to 57",B230&gt;=Thresholds_Rates!$C$16),$C230*Thresholds_Rates!$F$15,IF(AND(OR($B$2="New Consultant Contract"),$B230&lt;&gt;""),$C230*Thresholds_Rates!$F$15,IF(AND(OR($B$2="Clinical Lecturer / Medical Research Fellow",$B$2="Clinical Consultant - Old Contract (GP)"),$B230&lt;&gt;""),$C230*Thresholds_Rates!$F$15,IF(OR($B$2="APM Level 7",$B$2="R&amp;T Level 7"),$C230*Thresholds_Rates!$F$15,IF(SUMIF(Grades!$A:$A,$B$2,Grades!$BO:$BO)=1,$C230*Thresholds_Rates!$F$15,""))))))))</f>
        <v/>
      </c>
      <c r="M230" s="81" t="str">
        <f t="shared" si="17"/>
        <v/>
      </c>
      <c r="N230" s="81" t="str">
        <f t="shared" si="18"/>
        <v/>
      </c>
      <c r="O230" s="81" t="str">
        <f t="shared" si="19"/>
        <v/>
      </c>
      <c r="P230" s="81" t="str">
        <f t="shared" si="20"/>
        <v/>
      </c>
      <c r="Q230" s="81" t="str">
        <f t="shared" si="21"/>
        <v/>
      </c>
    </row>
    <row r="231" spans="6:17" x14ac:dyDescent="0.25">
      <c r="F231" s="81" t="str">
        <f>IF($B231="","",IF(AND($B$2="Salary Points 3 to 57",B231&lt;Thresholds_Rates!$C$16),"-",IF(SUMIF(Grades!$A:$A,$B$2,Grades!$BO:$BO)=0,"-",IF(AND($B$2="Salary Points 3 to 57",B231&gt;=Thresholds_Rates!$C$16),$C231*Thresholds_Rates!$F$15,IF(AND(OR($B$2="New Consultant Contract"),$B231&lt;&gt;""),$C231*Thresholds_Rates!$F$15,IF(AND(OR($B$2="Clinical Lecturer / Medical Research Fellow",$B$2="Clinical Consultant - Old Contract (GP)"),$B231&lt;&gt;""),$C231*Thresholds_Rates!$F$15,IF(OR($B$2="APM Level 7",$B$2="R&amp;T Level 7"),$C231*Thresholds_Rates!$F$15,IF(SUMIF(Grades!$A:$A,$B$2,Grades!$BO:$BO)=1,$C231*Thresholds_Rates!$F$15,""))))))))</f>
        <v/>
      </c>
      <c r="M231" s="81" t="str">
        <f t="shared" si="17"/>
        <v/>
      </c>
      <c r="N231" s="81" t="str">
        <f t="shared" si="18"/>
        <v/>
      </c>
      <c r="O231" s="81" t="str">
        <f t="shared" si="19"/>
        <v/>
      </c>
      <c r="P231" s="81" t="str">
        <f t="shared" si="20"/>
        <v/>
      </c>
      <c r="Q231" s="81" t="str">
        <f t="shared" si="21"/>
        <v/>
      </c>
    </row>
    <row r="232" spans="6:17" x14ac:dyDescent="0.25">
      <c r="F232" s="81" t="str">
        <f>IF($B232="","",IF(AND($B$2="Salary Points 3 to 57",B232&lt;Thresholds_Rates!$C$16),"-",IF(SUMIF(Grades!$A:$A,$B$2,Grades!$BO:$BO)=0,"-",IF(AND($B$2="Salary Points 3 to 57",B232&gt;=Thresholds_Rates!$C$16),$C232*Thresholds_Rates!$F$15,IF(AND(OR($B$2="New Consultant Contract"),$B232&lt;&gt;""),$C232*Thresholds_Rates!$F$15,IF(AND(OR($B$2="Clinical Lecturer / Medical Research Fellow",$B$2="Clinical Consultant - Old Contract (GP)"),$B232&lt;&gt;""),$C232*Thresholds_Rates!$F$15,IF(OR($B$2="APM Level 7",$B$2="R&amp;T Level 7"),$C232*Thresholds_Rates!$F$15,IF(SUMIF(Grades!$A:$A,$B$2,Grades!$BO:$BO)=1,$C232*Thresholds_Rates!$F$15,""))))))))</f>
        <v/>
      </c>
      <c r="M232" s="81" t="str">
        <f t="shared" si="17"/>
        <v/>
      </c>
      <c r="N232" s="81" t="str">
        <f t="shared" si="18"/>
        <v/>
      </c>
      <c r="O232" s="81" t="str">
        <f t="shared" si="19"/>
        <v/>
      </c>
      <c r="P232" s="81" t="str">
        <f t="shared" si="20"/>
        <v/>
      </c>
      <c r="Q232" s="81" t="str">
        <f t="shared" si="21"/>
        <v/>
      </c>
    </row>
    <row r="233" spans="6:17" x14ac:dyDescent="0.25">
      <c r="F233" s="81" t="str">
        <f>IF($B233="","",IF(AND($B$2="Salary Points 3 to 57",B233&lt;Thresholds_Rates!$C$16),"-",IF(SUMIF(Grades!$A:$A,$B$2,Grades!$BO:$BO)=0,"-",IF(AND($B$2="Salary Points 3 to 57",B233&gt;=Thresholds_Rates!$C$16),$C233*Thresholds_Rates!$F$15,IF(AND(OR($B$2="New Consultant Contract"),$B233&lt;&gt;""),$C233*Thresholds_Rates!$F$15,IF(AND(OR($B$2="Clinical Lecturer / Medical Research Fellow",$B$2="Clinical Consultant - Old Contract (GP)"),$B233&lt;&gt;""),$C233*Thresholds_Rates!$F$15,IF(OR($B$2="APM Level 7",$B$2="R&amp;T Level 7"),$C233*Thresholds_Rates!$F$15,IF(SUMIF(Grades!$A:$A,$B$2,Grades!$BO:$BO)=1,$C233*Thresholds_Rates!$F$15,""))))))))</f>
        <v/>
      </c>
      <c r="M233" s="81" t="str">
        <f t="shared" si="17"/>
        <v/>
      </c>
      <c r="N233" s="81" t="str">
        <f t="shared" si="18"/>
        <v/>
      </c>
      <c r="O233" s="81" t="str">
        <f t="shared" si="19"/>
        <v/>
      </c>
      <c r="P233" s="81" t="str">
        <f t="shared" si="20"/>
        <v/>
      </c>
      <c r="Q233" s="81" t="str">
        <f t="shared" si="21"/>
        <v/>
      </c>
    </row>
    <row r="234" spans="6:17" x14ac:dyDescent="0.25">
      <c r="F234" s="81" t="str">
        <f>IF($B234="","",IF(AND($B$2="Salary Points 3 to 57",B234&lt;Thresholds_Rates!$C$16),"-",IF(SUMIF(Grades!$A:$A,$B$2,Grades!$BO:$BO)=0,"-",IF(AND($B$2="Salary Points 3 to 57",B234&gt;=Thresholds_Rates!$C$16),$C234*Thresholds_Rates!$F$15,IF(AND(OR($B$2="New Consultant Contract"),$B234&lt;&gt;""),$C234*Thresholds_Rates!$F$15,IF(AND(OR($B$2="Clinical Lecturer / Medical Research Fellow",$B$2="Clinical Consultant - Old Contract (GP)"),$B234&lt;&gt;""),$C234*Thresholds_Rates!$F$15,IF(OR($B$2="APM Level 7",$B$2="R&amp;T Level 7"),$C234*Thresholds_Rates!$F$15,IF(SUMIF(Grades!$A:$A,$B$2,Grades!$BO:$BO)=1,$C234*Thresholds_Rates!$F$15,""))))))))</f>
        <v/>
      </c>
      <c r="M234" s="81" t="str">
        <f t="shared" si="17"/>
        <v/>
      </c>
      <c r="N234" s="81" t="str">
        <f t="shared" si="18"/>
        <v/>
      </c>
      <c r="O234" s="81" t="str">
        <f t="shared" si="19"/>
        <v/>
      </c>
      <c r="P234" s="81" t="str">
        <f t="shared" si="20"/>
        <v/>
      </c>
      <c r="Q234" s="81" t="str">
        <f t="shared" si="21"/>
        <v/>
      </c>
    </row>
    <row r="235" spans="6:17" x14ac:dyDescent="0.25">
      <c r="F235" s="81" t="str">
        <f>IF($B235="","",IF(AND($B$2="Salary Points 3 to 57",B235&lt;Thresholds_Rates!$C$16),"-",IF(SUMIF(Grades!$A:$A,$B$2,Grades!$BO:$BO)=0,"-",IF(AND($B$2="Salary Points 3 to 57",B235&gt;=Thresholds_Rates!$C$16),$C235*Thresholds_Rates!$F$15,IF(AND(OR($B$2="New Consultant Contract"),$B235&lt;&gt;""),$C235*Thresholds_Rates!$F$15,IF(AND(OR($B$2="Clinical Lecturer / Medical Research Fellow",$B$2="Clinical Consultant - Old Contract (GP)"),$B235&lt;&gt;""),$C235*Thresholds_Rates!$F$15,IF(OR($B$2="APM Level 7",$B$2="R&amp;T Level 7"),$C235*Thresholds_Rates!$F$15,IF(SUMIF(Grades!$A:$A,$B$2,Grades!$BO:$BO)=1,$C235*Thresholds_Rates!$F$15,""))))))))</f>
        <v/>
      </c>
      <c r="M235" s="81" t="str">
        <f t="shared" si="17"/>
        <v/>
      </c>
      <c r="N235" s="81" t="str">
        <f t="shared" si="18"/>
        <v/>
      </c>
      <c r="O235" s="81" t="str">
        <f t="shared" si="19"/>
        <v/>
      </c>
      <c r="P235" s="81" t="str">
        <f t="shared" si="20"/>
        <v/>
      </c>
      <c r="Q235" s="81" t="str">
        <f t="shared" si="21"/>
        <v/>
      </c>
    </row>
    <row r="236" spans="6:17" x14ac:dyDescent="0.25">
      <c r="F236" s="81" t="str">
        <f>IF($B236="","",IF(AND($B$2="Salary Points 3 to 57",B236&lt;Thresholds_Rates!$C$16),"-",IF(SUMIF(Grades!$A:$A,$B$2,Grades!$BO:$BO)=0,"-",IF(AND($B$2="Salary Points 3 to 57",B236&gt;=Thresholds_Rates!$C$16),$C236*Thresholds_Rates!$F$15,IF(AND(OR($B$2="New Consultant Contract"),$B236&lt;&gt;""),$C236*Thresholds_Rates!$F$15,IF(AND(OR($B$2="Clinical Lecturer / Medical Research Fellow",$B$2="Clinical Consultant - Old Contract (GP)"),$B236&lt;&gt;""),$C236*Thresholds_Rates!$F$15,IF(OR($B$2="APM Level 7",$B$2="R&amp;T Level 7"),$C236*Thresholds_Rates!$F$15,IF(SUMIF(Grades!$A:$A,$B$2,Grades!$BO:$BO)=1,$C236*Thresholds_Rates!$F$15,""))))))))</f>
        <v/>
      </c>
      <c r="M236" s="81" t="str">
        <f t="shared" ref="M236:M299" si="22">IF(B236="","",IF(F236="-","-",$C236+$I236+F236))</f>
        <v/>
      </c>
      <c r="N236" s="81" t="str">
        <f t="shared" ref="N236:N299" si="23">IF(B236="","",IF(G236="-","-",$C236+$I236+G236))</f>
        <v/>
      </c>
      <c r="O236" s="81" t="str">
        <f t="shared" ref="O236:O299" si="24">IF(B236="","",IF(H236="-","-",$C236+$I236+H236))</f>
        <v/>
      </c>
      <c r="P236" s="81" t="str">
        <f t="shared" ref="P236:P299" si="25">IF(B236="","",IF(K236="-","-",$C236+$I236+K236))</f>
        <v/>
      </c>
      <c r="Q236" s="81" t="str">
        <f t="shared" ref="Q236:Q299" si="26">IF(B236="","",C236+I236)</f>
        <v/>
      </c>
    </row>
    <row r="237" spans="6:17" x14ac:dyDescent="0.25">
      <c r="F237" s="81" t="str">
        <f>IF($B237="","",IF(AND($B$2="Salary Points 3 to 57",B237&lt;Thresholds_Rates!$C$16),"-",IF(SUMIF(Grades!$A:$A,$B$2,Grades!$BO:$BO)=0,"-",IF(AND($B$2="Salary Points 3 to 57",B237&gt;=Thresholds_Rates!$C$16),$C237*Thresholds_Rates!$F$15,IF(AND(OR($B$2="New Consultant Contract"),$B237&lt;&gt;""),$C237*Thresholds_Rates!$F$15,IF(AND(OR($B$2="Clinical Lecturer / Medical Research Fellow",$B$2="Clinical Consultant - Old Contract (GP)"),$B237&lt;&gt;""),$C237*Thresholds_Rates!$F$15,IF(OR($B$2="APM Level 7",$B$2="R&amp;T Level 7"),$C237*Thresholds_Rates!$F$15,IF(SUMIF(Grades!$A:$A,$B$2,Grades!$BO:$BO)=1,$C237*Thresholds_Rates!$F$15,""))))))))</f>
        <v/>
      </c>
      <c r="M237" s="81" t="str">
        <f t="shared" si="22"/>
        <v/>
      </c>
      <c r="N237" s="81" t="str">
        <f t="shared" si="23"/>
        <v/>
      </c>
      <c r="O237" s="81" t="str">
        <f t="shared" si="24"/>
        <v/>
      </c>
      <c r="P237" s="81" t="str">
        <f t="shared" si="25"/>
        <v/>
      </c>
      <c r="Q237" s="81" t="str">
        <f t="shared" si="26"/>
        <v/>
      </c>
    </row>
    <row r="238" spans="6:17" x14ac:dyDescent="0.25">
      <c r="F238" s="81" t="str">
        <f>IF($B238="","",IF(AND($B$2="Salary Points 3 to 57",B238&lt;Thresholds_Rates!$C$16),"-",IF(SUMIF(Grades!$A:$A,$B$2,Grades!$BO:$BO)=0,"-",IF(AND($B$2="Salary Points 3 to 57",B238&gt;=Thresholds_Rates!$C$16),$C238*Thresholds_Rates!$F$15,IF(AND(OR($B$2="New Consultant Contract"),$B238&lt;&gt;""),$C238*Thresholds_Rates!$F$15,IF(AND(OR($B$2="Clinical Lecturer / Medical Research Fellow",$B$2="Clinical Consultant - Old Contract (GP)"),$B238&lt;&gt;""),$C238*Thresholds_Rates!$F$15,IF(OR($B$2="APM Level 7",$B$2="R&amp;T Level 7"),$C238*Thresholds_Rates!$F$15,IF(SUMIF(Grades!$A:$A,$B$2,Grades!$BO:$BO)=1,$C238*Thresholds_Rates!$F$15,""))))))))</f>
        <v/>
      </c>
      <c r="M238" s="81" t="str">
        <f t="shared" si="22"/>
        <v/>
      </c>
      <c r="N238" s="81" t="str">
        <f t="shared" si="23"/>
        <v/>
      </c>
      <c r="O238" s="81" t="str">
        <f t="shared" si="24"/>
        <v/>
      </c>
      <c r="P238" s="81" t="str">
        <f t="shared" si="25"/>
        <v/>
      </c>
      <c r="Q238" s="81" t="str">
        <f t="shared" si="26"/>
        <v/>
      </c>
    </row>
    <row r="239" spans="6:17" x14ac:dyDescent="0.25">
      <c r="F239" s="81" t="str">
        <f>IF($B239="","",IF(AND($B$2="Salary Points 3 to 57",B239&lt;Thresholds_Rates!$C$16),"-",IF(SUMIF(Grades!$A:$A,$B$2,Grades!$BO:$BO)=0,"-",IF(AND($B$2="Salary Points 3 to 57",B239&gt;=Thresholds_Rates!$C$16),$C239*Thresholds_Rates!$F$15,IF(AND(OR($B$2="New Consultant Contract"),$B239&lt;&gt;""),$C239*Thresholds_Rates!$F$15,IF(AND(OR($B$2="Clinical Lecturer / Medical Research Fellow",$B$2="Clinical Consultant - Old Contract (GP)"),$B239&lt;&gt;""),$C239*Thresholds_Rates!$F$15,IF(OR($B$2="APM Level 7",$B$2="R&amp;T Level 7"),$C239*Thresholds_Rates!$F$15,IF(SUMIF(Grades!$A:$A,$B$2,Grades!$BO:$BO)=1,$C239*Thresholds_Rates!$F$15,""))))))))</f>
        <v/>
      </c>
      <c r="M239" s="81" t="str">
        <f t="shared" si="22"/>
        <v/>
      </c>
      <c r="N239" s="81" t="str">
        <f t="shared" si="23"/>
        <v/>
      </c>
      <c r="O239" s="81" t="str">
        <f t="shared" si="24"/>
        <v/>
      </c>
      <c r="P239" s="81" t="str">
        <f t="shared" si="25"/>
        <v/>
      </c>
      <c r="Q239" s="81" t="str">
        <f t="shared" si="26"/>
        <v/>
      </c>
    </row>
    <row r="240" spans="6:17" x14ac:dyDescent="0.25">
      <c r="F240" s="81" t="str">
        <f>IF($B240="","",IF(AND($B$2="Salary Points 3 to 57",B240&lt;Thresholds_Rates!$C$16),"-",IF(SUMIF(Grades!$A:$A,$B$2,Grades!$BO:$BO)=0,"-",IF(AND($B$2="Salary Points 3 to 57",B240&gt;=Thresholds_Rates!$C$16),$C240*Thresholds_Rates!$F$15,IF(AND(OR($B$2="New Consultant Contract"),$B240&lt;&gt;""),$C240*Thresholds_Rates!$F$15,IF(AND(OR($B$2="Clinical Lecturer / Medical Research Fellow",$B$2="Clinical Consultant - Old Contract (GP)"),$B240&lt;&gt;""),$C240*Thresholds_Rates!$F$15,IF(OR($B$2="APM Level 7",$B$2="R&amp;T Level 7"),$C240*Thresholds_Rates!$F$15,IF(SUMIF(Grades!$A:$A,$B$2,Grades!$BO:$BO)=1,$C240*Thresholds_Rates!$F$15,""))))))))</f>
        <v/>
      </c>
      <c r="M240" s="81" t="str">
        <f t="shared" si="22"/>
        <v/>
      </c>
      <c r="N240" s="81" t="str">
        <f t="shared" si="23"/>
        <v/>
      </c>
      <c r="O240" s="81" t="str">
        <f t="shared" si="24"/>
        <v/>
      </c>
      <c r="P240" s="81" t="str">
        <f t="shared" si="25"/>
        <v/>
      </c>
      <c r="Q240" s="81" t="str">
        <f t="shared" si="26"/>
        <v/>
      </c>
    </row>
    <row r="241" spans="6:17" x14ac:dyDescent="0.25">
      <c r="F241" s="81" t="str">
        <f>IF($B241="","",IF(AND($B$2="Salary Points 3 to 57",B241&lt;Thresholds_Rates!$C$16),"-",IF(SUMIF(Grades!$A:$A,$B$2,Grades!$BO:$BO)=0,"-",IF(AND($B$2="Salary Points 3 to 57",B241&gt;=Thresholds_Rates!$C$16),$C241*Thresholds_Rates!$F$15,IF(AND(OR($B$2="New Consultant Contract"),$B241&lt;&gt;""),$C241*Thresholds_Rates!$F$15,IF(AND(OR($B$2="Clinical Lecturer / Medical Research Fellow",$B$2="Clinical Consultant - Old Contract (GP)"),$B241&lt;&gt;""),$C241*Thresholds_Rates!$F$15,IF(OR($B$2="APM Level 7",$B$2="R&amp;T Level 7"),$C241*Thresholds_Rates!$F$15,IF(SUMIF(Grades!$A:$A,$B$2,Grades!$BO:$BO)=1,$C241*Thresholds_Rates!$F$15,""))))))))</f>
        <v/>
      </c>
      <c r="M241" s="81" t="str">
        <f t="shared" si="22"/>
        <v/>
      </c>
      <c r="N241" s="81" t="str">
        <f t="shared" si="23"/>
        <v/>
      </c>
      <c r="O241" s="81" t="str">
        <f t="shared" si="24"/>
        <v/>
      </c>
      <c r="P241" s="81" t="str">
        <f t="shared" si="25"/>
        <v/>
      </c>
      <c r="Q241" s="81" t="str">
        <f t="shared" si="26"/>
        <v/>
      </c>
    </row>
    <row r="242" spans="6:17" x14ac:dyDescent="0.25">
      <c r="F242" s="81" t="str">
        <f>IF($B242="","",IF(AND($B$2="Salary Points 3 to 57",B242&lt;Thresholds_Rates!$C$16),"-",IF(SUMIF(Grades!$A:$A,$B$2,Grades!$BO:$BO)=0,"-",IF(AND($B$2="Salary Points 3 to 57",B242&gt;=Thresholds_Rates!$C$16),$C242*Thresholds_Rates!$F$15,IF(AND(OR($B$2="New Consultant Contract"),$B242&lt;&gt;""),$C242*Thresholds_Rates!$F$15,IF(AND(OR($B$2="Clinical Lecturer / Medical Research Fellow",$B$2="Clinical Consultant - Old Contract (GP)"),$B242&lt;&gt;""),$C242*Thresholds_Rates!$F$15,IF(OR($B$2="APM Level 7",$B$2="R&amp;T Level 7"),$C242*Thresholds_Rates!$F$15,IF(SUMIF(Grades!$A:$A,$B$2,Grades!$BO:$BO)=1,$C242*Thresholds_Rates!$F$15,""))))))))</f>
        <v/>
      </c>
      <c r="M242" s="81" t="str">
        <f t="shared" si="22"/>
        <v/>
      </c>
      <c r="N242" s="81" t="str">
        <f t="shared" si="23"/>
        <v/>
      </c>
      <c r="O242" s="81" t="str">
        <f t="shared" si="24"/>
        <v/>
      </c>
      <c r="P242" s="81" t="str">
        <f t="shared" si="25"/>
        <v/>
      </c>
      <c r="Q242" s="81" t="str">
        <f t="shared" si="26"/>
        <v/>
      </c>
    </row>
    <row r="243" spans="6:17" x14ac:dyDescent="0.25">
      <c r="F243" s="81" t="str">
        <f>IF($B243="","",IF(AND($B$2="Salary Points 3 to 57",B243&lt;Thresholds_Rates!$C$16),"-",IF(SUMIF(Grades!$A:$A,$B$2,Grades!$BO:$BO)=0,"-",IF(AND($B$2="Salary Points 3 to 57",B243&gt;=Thresholds_Rates!$C$16),$C243*Thresholds_Rates!$F$15,IF(AND(OR($B$2="New Consultant Contract"),$B243&lt;&gt;""),$C243*Thresholds_Rates!$F$15,IF(AND(OR($B$2="Clinical Lecturer / Medical Research Fellow",$B$2="Clinical Consultant - Old Contract (GP)"),$B243&lt;&gt;""),$C243*Thresholds_Rates!$F$15,IF(OR($B$2="APM Level 7",$B$2="R&amp;T Level 7"),$C243*Thresholds_Rates!$F$15,IF(SUMIF(Grades!$A:$A,$B$2,Grades!$BO:$BO)=1,$C243*Thresholds_Rates!$F$15,""))))))))</f>
        <v/>
      </c>
      <c r="M243" s="81" t="str">
        <f t="shared" si="22"/>
        <v/>
      </c>
      <c r="N243" s="81" t="str">
        <f t="shared" si="23"/>
        <v/>
      </c>
      <c r="O243" s="81" t="str">
        <f t="shared" si="24"/>
        <v/>
      </c>
      <c r="P243" s="81" t="str">
        <f t="shared" si="25"/>
        <v/>
      </c>
      <c r="Q243" s="81" t="str">
        <f t="shared" si="26"/>
        <v/>
      </c>
    </row>
    <row r="244" spans="6:17" x14ac:dyDescent="0.25">
      <c r="F244" s="81" t="str">
        <f>IF($B244="","",IF(AND($B$2="Salary Points 3 to 57",B244&lt;Thresholds_Rates!$C$16),"-",IF(SUMIF(Grades!$A:$A,$B$2,Grades!$BO:$BO)=0,"-",IF(AND($B$2="Salary Points 3 to 57",B244&gt;=Thresholds_Rates!$C$16),$C244*Thresholds_Rates!$F$15,IF(AND(OR($B$2="New Consultant Contract"),$B244&lt;&gt;""),$C244*Thresholds_Rates!$F$15,IF(AND(OR($B$2="Clinical Lecturer / Medical Research Fellow",$B$2="Clinical Consultant - Old Contract (GP)"),$B244&lt;&gt;""),$C244*Thresholds_Rates!$F$15,IF(OR($B$2="APM Level 7",$B$2="R&amp;T Level 7"),$C244*Thresholds_Rates!$F$15,IF(SUMIF(Grades!$A:$A,$B$2,Grades!$BO:$BO)=1,$C244*Thresholds_Rates!$F$15,""))))))))</f>
        <v/>
      </c>
      <c r="M244" s="81" t="str">
        <f t="shared" si="22"/>
        <v/>
      </c>
      <c r="N244" s="81" t="str">
        <f t="shared" si="23"/>
        <v/>
      </c>
      <c r="O244" s="81" t="str">
        <f t="shared" si="24"/>
        <v/>
      </c>
      <c r="P244" s="81" t="str">
        <f t="shared" si="25"/>
        <v/>
      </c>
      <c r="Q244" s="81" t="str">
        <f t="shared" si="26"/>
        <v/>
      </c>
    </row>
    <row r="245" spans="6:17" x14ac:dyDescent="0.25">
      <c r="F245" s="81" t="str">
        <f>IF($B245="","",IF(AND($B$2="Salary Points 3 to 57",B245&lt;Thresholds_Rates!$C$16),"-",IF(SUMIF(Grades!$A:$A,$B$2,Grades!$BO:$BO)=0,"-",IF(AND($B$2="Salary Points 3 to 57",B245&gt;=Thresholds_Rates!$C$16),$C245*Thresholds_Rates!$F$15,IF(AND(OR($B$2="New Consultant Contract"),$B245&lt;&gt;""),$C245*Thresholds_Rates!$F$15,IF(AND(OR($B$2="Clinical Lecturer / Medical Research Fellow",$B$2="Clinical Consultant - Old Contract (GP)"),$B245&lt;&gt;""),$C245*Thresholds_Rates!$F$15,IF(OR($B$2="APM Level 7",$B$2="R&amp;T Level 7"),$C245*Thresholds_Rates!$F$15,IF(SUMIF(Grades!$A:$A,$B$2,Grades!$BO:$BO)=1,$C245*Thresholds_Rates!$F$15,""))))))))</f>
        <v/>
      </c>
      <c r="M245" s="81" t="str">
        <f t="shared" si="22"/>
        <v/>
      </c>
      <c r="N245" s="81" t="str">
        <f t="shared" si="23"/>
        <v/>
      </c>
      <c r="O245" s="81" t="str">
        <f t="shared" si="24"/>
        <v/>
      </c>
      <c r="P245" s="81" t="str">
        <f t="shared" si="25"/>
        <v/>
      </c>
      <c r="Q245" s="81" t="str">
        <f t="shared" si="26"/>
        <v/>
      </c>
    </row>
    <row r="246" spans="6:17" x14ac:dyDescent="0.25">
      <c r="F246" s="81" t="str">
        <f>IF($B246="","",IF(AND($B$2="Salary Points 3 to 57",B246&lt;Thresholds_Rates!$C$16),"-",IF(SUMIF(Grades!$A:$A,$B$2,Grades!$BO:$BO)=0,"-",IF(AND($B$2="Salary Points 3 to 57",B246&gt;=Thresholds_Rates!$C$16),$C246*Thresholds_Rates!$F$15,IF(AND(OR($B$2="New Consultant Contract"),$B246&lt;&gt;""),$C246*Thresholds_Rates!$F$15,IF(AND(OR($B$2="Clinical Lecturer / Medical Research Fellow",$B$2="Clinical Consultant - Old Contract (GP)"),$B246&lt;&gt;""),$C246*Thresholds_Rates!$F$15,IF(OR($B$2="APM Level 7",$B$2="R&amp;T Level 7"),$C246*Thresholds_Rates!$F$15,IF(SUMIF(Grades!$A:$A,$B$2,Grades!$BO:$BO)=1,$C246*Thresholds_Rates!$F$15,""))))))))</f>
        <v/>
      </c>
      <c r="M246" s="81" t="str">
        <f t="shared" si="22"/>
        <v/>
      </c>
      <c r="N246" s="81" t="str">
        <f t="shared" si="23"/>
        <v/>
      </c>
      <c r="O246" s="81" t="str">
        <f t="shared" si="24"/>
        <v/>
      </c>
      <c r="P246" s="81" t="str">
        <f t="shared" si="25"/>
        <v/>
      </c>
      <c r="Q246" s="81" t="str">
        <f t="shared" si="26"/>
        <v/>
      </c>
    </row>
    <row r="247" spans="6:17" x14ac:dyDescent="0.25">
      <c r="F247" s="81" t="str">
        <f>IF($B247="","",IF(AND($B$2="Salary Points 3 to 57",B247&lt;Thresholds_Rates!$C$16),"-",IF(SUMIF(Grades!$A:$A,$B$2,Grades!$BO:$BO)=0,"-",IF(AND($B$2="Salary Points 3 to 57",B247&gt;=Thresholds_Rates!$C$16),$C247*Thresholds_Rates!$F$15,IF(AND(OR($B$2="New Consultant Contract"),$B247&lt;&gt;""),$C247*Thresholds_Rates!$F$15,IF(AND(OR($B$2="Clinical Lecturer / Medical Research Fellow",$B$2="Clinical Consultant - Old Contract (GP)"),$B247&lt;&gt;""),$C247*Thresholds_Rates!$F$15,IF(OR($B$2="APM Level 7",$B$2="R&amp;T Level 7"),$C247*Thresholds_Rates!$F$15,IF(SUMIF(Grades!$A:$A,$B$2,Grades!$BO:$BO)=1,$C247*Thresholds_Rates!$F$15,""))))))))</f>
        <v/>
      </c>
      <c r="M247" s="81" t="str">
        <f t="shared" si="22"/>
        <v/>
      </c>
      <c r="N247" s="81" t="str">
        <f t="shared" si="23"/>
        <v/>
      </c>
      <c r="O247" s="81" t="str">
        <f t="shared" si="24"/>
        <v/>
      </c>
      <c r="P247" s="81" t="str">
        <f t="shared" si="25"/>
        <v/>
      </c>
      <c r="Q247" s="81" t="str">
        <f t="shared" si="26"/>
        <v/>
      </c>
    </row>
    <row r="248" spans="6:17" x14ac:dyDescent="0.25">
      <c r="F248" s="81" t="str">
        <f>IF($B248="","",IF(AND($B$2="Salary Points 3 to 57",B248&lt;Thresholds_Rates!$C$16),"-",IF(SUMIF(Grades!$A:$A,$B$2,Grades!$BO:$BO)=0,"-",IF(AND($B$2="Salary Points 3 to 57",B248&gt;=Thresholds_Rates!$C$16),$C248*Thresholds_Rates!$F$15,IF(AND(OR($B$2="New Consultant Contract"),$B248&lt;&gt;""),$C248*Thresholds_Rates!$F$15,IF(AND(OR($B$2="Clinical Lecturer / Medical Research Fellow",$B$2="Clinical Consultant - Old Contract (GP)"),$B248&lt;&gt;""),$C248*Thresholds_Rates!$F$15,IF(OR($B$2="APM Level 7",$B$2="R&amp;T Level 7"),$C248*Thresholds_Rates!$F$15,IF(SUMIF(Grades!$A:$A,$B$2,Grades!$BO:$BO)=1,$C248*Thresholds_Rates!$F$15,""))))))))</f>
        <v/>
      </c>
      <c r="M248" s="81" t="str">
        <f t="shared" si="22"/>
        <v/>
      </c>
      <c r="N248" s="81" t="str">
        <f t="shared" si="23"/>
        <v/>
      </c>
      <c r="O248" s="81" t="str">
        <f t="shared" si="24"/>
        <v/>
      </c>
      <c r="P248" s="81" t="str">
        <f t="shared" si="25"/>
        <v/>
      </c>
      <c r="Q248" s="81" t="str">
        <f t="shared" si="26"/>
        <v/>
      </c>
    </row>
    <row r="249" spans="6:17" x14ac:dyDescent="0.25">
      <c r="F249" s="81" t="str">
        <f>IF($B249="","",IF(AND($B$2="Salary Points 3 to 57",B249&lt;Thresholds_Rates!$C$16),"-",IF(SUMIF(Grades!$A:$A,$B$2,Grades!$BO:$BO)=0,"-",IF(AND($B$2="Salary Points 3 to 57",B249&gt;=Thresholds_Rates!$C$16),$C249*Thresholds_Rates!$F$15,IF(AND(OR($B$2="New Consultant Contract"),$B249&lt;&gt;""),$C249*Thresholds_Rates!$F$15,IF(AND(OR($B$2="Clinical Lecturer / Medical Research Fellow",$B$2="Clinical Consultant - Old Contract (GP)"),$B249&lt;&gt;""),$C249*Thresholds_Rates!$F$15,IF(OR($B$2="APM Level 7",$B$2="R&amp;T Level 7"),$C249*Thresholds_Rates!$F$15,IF(SUMIF(Grades!$A:$A,$B$2,Grades!$BO:$BO)=1,$C249*Thresholds_Rates!$F$15,""))))))))</f>
        <v/>
      </c>
      <c r="M249" s="81" t="str">
        <f t="shared" si="22"/>
        <v/>
      </c>
      <c r="N249" s="81" t="str">
        <f t="shared" si="23"/>
        <v/>
      </c>
      <c r="O249" s="81" t="str">
        <f t="shared" si="24"/>
        <v/>
      </c>
      <c r="P249" s="81" t="str">
        <f t="shared" si="25"/>
        <v/>
      </c>
      <c r="Q249" s="81" t="str">
        <f t="shared" si="26"/>
        <v/>
      </c>
    </row>
    <row r="250" spans="6:17" x14ac:dyDescent="0.25">
      <c r="F250" s="81" t="str">
        <f>IF($B250="","",IF(AND($B$2="Salary Points 3 to 57",B250&lt;Thresholds_Rates!$C$16),"-",IF(SUMIF(Grades!$A:$A,$B$2,Grades!$BO:$BO)=0,"-",IF(AND($B$2="Salary Points 3 to 57",B250&gt;=Thresholds_Rates!$C$16),$C250*Thresholds_Rates!$F$15,IF(AND(OR($B$2="New Consultant Contract"),$B250&lt;&gt;""),$C250*Thresholds_Rates!$F$15,IF(AND(OR($B$2="Clinical Lecturer / Medical Research Fellow",$B$2="Clinical Consultant - Old Contract (GP)"),$B250&lt;&gt;""),$C250*Thresholds_Rates!$F$15,IF(OR($B$2="APM Level 7",$B$2="R&amp;T Level 7"),$C250*Thresholds_Rates!$F$15,IF(SUMIF(Grades!$A:$A,$B$2,Grades!$BO:$BO)=1,$C250*Thresholds_Rates!$F$15,""))))))))</f>
        <v/>
      </c>
      <c r="M250" s="81" t="str">
        <f t="shared" si="22"/>
        <v/>
      </c>
      <c r="N250" s="81" t="str">
        <f t="shared" si="23"/>
        <v/>
      </c>
      <c r="O250" s="81" t="str">
        <f t="shared" si="24"/>
        <v/>
      </c>
      <c r="P250" s="81" t="str">
        <f t="shared" si="25"/>
        <v/>
      </c>
      <c r="Q250" s="81" t="str">
        <f t="shared" si="26"/>
        <v/>
      </c>
    </row>
    <row r="251" spans="6:17" x14ac:dyDescent="0.25">
      <c r="F251" s="81" t="str">
        <f>IF($B251="","",IF(AND($B$2="Salary Points 3 to 57",B251&lt;Thresholds_Rates!$C$16),"-",IF(SUMIF(Grades!$A:$A,$B$2,Grades!$BO:$BO)=0,"-",IF(AND($B$2="Salary Points 3 to 57",B251&gt;=Thresholds_Rates!$C$16),$C251*Thresholds_Rates!$F$15,IF(AND(OR($B$2="New Consultant Contract"),$B251&lt;&gt;""),$C251*Thresholds_Rates!$F$15,IF(AND(OR($B$2="Clinical Lecturer / Medical Research Fellow",$B$2="Clinical Consultant - Old Contract (GP)"),$B251&lt;&gt;""),$C251*Thresholds_Rates!$F$15,IF(OR($B$2="APM Level 7",$B$2="R&amp;T Level 7"),$C251*Thresholds_Rates!$F$15,IF(SUMIF(Grades!$A:$A,$B$2,Grades!$BO:$BO)=1,$C251*Thresholds_Rates!$F$15,""))))))))</f>
        <v/>
      </c>
      <c r="M251" s="81" t="str">
        <f t="shared" si="22"/>
        <v/>
      </c>
      <c r="N251" s="81" t="str">
        <f t="shared" si="23"/>
        <v/>
      </c>
      <c r="O251" s="81" t="str">
        <f t="shared" si="24"/>
        <v/>
      </c>
      <c r="P251" s="81" t="str">
        <f t="shared" si="25"/>
        <v/>
      </c>
      <c r="Q251" s="81" t="str">
        <f t="shared" si="26"/>
        <v/>
      </c>
    </row>
    <row r="252" spans="6:17" x14ac:dyDescent="0.25">
      <c r="F252" s="81" t="str">
        <f>IF($B252="","",IF(AND($B$2="Salary Points 3 to 57",B252&lt;Thresholds_Rates!$C$16),"-",IF(SUMIF(Grades!$A:$A,$B$2,Grades!$BO:$BO)=0,"-",IF(AND($B$2="Salary Points 3 to 57",B252&gt;=Thresholds_Rates!$C$16),$C252*Thresholds_Rates!$F$15,IF(AND(OR($B$2="New Consultant Contract"),$B252&lt;&gt;""),$C252*Thresholds_Rates!$F$15,IF(AND(OR($B$2="Clinical Lecturer / Medical Research Fellow",$B$2="Clinical Consultant - Old Contract (GP)"),$B252&lt;&gt;""),$C252*Thresholds_Rates!$F$15,IF(OR($B$2="APM Level 7",$B$2="R&amp;T Level 7"),$C252*Thresholds_Rates!$F$15,IF(SUMIF(Grades!$A:$A,$B$2,Grades!$BO:$BO)=1,$C252*Thresholds_Rates!$F$15,""))))))))</f>
        <v/>
      </c>
      <c r="M252" s="81" t="str">
        <f t="shared" si="22"/>
        <v/>
      </c>
      <c r="N252" s="81" t="str">
        <f t="shared" si="23"/>
        <v/>
      </c>
      <c r="O252" s="81" t="str">
        <f t="shared" si="24"/>
        <v/>
      </c>
      <c r="P252" s="81" t="str">
        <f t="shared" si="25"/>
        <v/>
      </c>
      <c r="Q252" s="81" t="str">
        <f t="shared" si="26"/>
        <v/>
      </c>
    </row>
    <row r="253" spans="6:17" x14ac:dyDescent="0.25">
      <c r="F253" s="81" t="str">
        <f>IF($B253="","",IF(AND($B$2="Salary Points 3 to 57",B253&lt;Thresholds_Rates!$C$16),"-",IF(SUMIF(Grades!$A:$A,$B$2,Grades!$BO:$BO)=0,"-",IF(AND($B$2="Salary Points 3 to 57",B253&gt;=Thresholds_Rates!$C$16),$C253*Thresholds_Rates!$F$15,IF(AND(OR($B$2="New Consultant Contract"),$B253&lt;&gt;""),$C253*Thresholds_Rates!$F$15,IF(AND(OR($B$2="Clinical Lecturer / Medical Research Fellow",$B$2="Clinical Consultant - Old Contract (GP)"),$B253&lt;&gt;""),$C253*Thresholds_Rates!$F$15,IF(OR($B$2="APM Level 7",$B$2="R&amp;T Level 7"),$C253*Thresholds_Rates!$F$15,IF(SUMIF(Grades!$A:$A,$B$2,Grades!$BO:$BO)=1,$C253*Thresholds_Rates!$F$15,""))))))))</f>
        <v/>
      </c>
      <c r="M253" s="81" t="str">
        <f t="shared" si="22"/>
        <v/>
      </c>
      <c r="N253" s="81" t="str">
        <f t="shared" si="23"/>
        <v/>
      </c>
      <c r="O253" s="81" t="str">
        <f t="shared" si="24"/>
        <v/>
      </c>
      <c r="P253" s="81" t="str">
        <f t="shared" si="25"/>
        <v/>
      </c>
      <c r="Q253" s="81" t="str">
        <f t="shared" si="26"/>
        <v/>
      </c>
    </row>
    <row r="254" spans="6:17" x14ac:dyDescent="0.25">
      <c r="F254" s="81" t="str">
        <f>IF($B254="","",IF(AND($B$2="Salary Points 3 to 57",B254&lt;Thresholds_Rates!$C$16),"-",IF(SUMIF(Grades!$A:$A,$B$2,Grades!$BO:$BO)=0,"-",IF(AND($B$2="Salary Points 3 to 57",B254&gt;=Thresholds_Rates!$C$16),$C254*Thresholds_Rates!$F$15,IF(AND(OR($B$2="New Consultant Contract"),$B254&lt;&gt;""),$C254*Thresholds_Rates!$F$15,IF(AND(OR($B$2="Clinical Lecturer / Medical Research Fellow",$B$2="Clinical Consultant - Old Contract (GP)"),$B254&lt;&gt;""),$C254*Thresholds_Rates!$F$15,IF(OR($B$2="APM Level 7",$B$2="R&amp;T Level 7"),$C254*Thresholds_Rates!$F$15,IF(SUMIF(Grades!$A:$A,$B$2,Grades!$BO:$BO)=1,$C254*Thresholds_Rates!$F$15,""))))))))</f>
        <v/>
      </c>
      <c r="M254" s="81" t="str">
        <f t="shared" si="22"/>
        <v/>
      </c>
      <c r="N254" s="81" t="str">
        <f t="shared" si="23"/>
        <v/>
      </c>
      <c r="O254" s="81" t="str">
        <f t="shared" si="24"/>
        <v/>
      </c>
      <c r="P254" s="81" t="str">
        <f t="shared" si="25"/>
        <v/>
      </c>
      <c r="Q254" s="81" t="str">
        <f t="shared" si="26"/>
        <v/>
      </c>
    </row>
    <row r="255" spans="6:17" x14ac:dyDescent="0.25">
      <c r="F255" s="81" t="str">
        <f>IF($B255="","",IF(AND($B$2="Salary Points 3 to 57",B255&lt;Thresholds_Rates!$C$16),"-",IF(SUMIF(Grades!$A:$A,$B$2,Grades!$BO:$BO)=0,"-",IF(AND($B$2="Salary Points 3 to 57",B255&gt;=Thresholds_Rates!$C$16),$C255*Thresholds_Rates!$F$15,IF(AND(OR($B$2="New Consultant Contract"),$B255&lt;&gt;""),$C255*Thresholds_Rates!$F$15,IF(AND(OR($B$2="Clinical Lecturer / Medical Research Fellow",$B$2="Clinical Consultant - Old Contract (GP)"),$B255&lt;&gt;""),$C255*Thresholds_Rates!$F$15,IF(OR($B$2="APM Level 7",$B$2="R&amp;T Level 7"),$C255*Thresholds_Rates!$F$15,IF(SUMIF(Grades!$A:$A,$B$2,Grades!$BO:$BO)=1,$C255*Thresholds_Rates!$F$15,""))))))))</f>
        <v/>
      </c>
      <c r="M255" s="81" t="str">
        <f t="shared" si="22"/>
        <v/>
      </c>
      <c r="N255" s="81" t="str">
        <f t="shared" si="23"/>
        <v/>
      </c>
      <c r="O255" s="81" t="str">
        <f t="shared" si="24"/>
        <v/>
      </c>
      <c r="P255" s="81" t="str">
        <f t="shared" si="25"/>
        <v/>
      </c>
      <c r="Q255" s="81" t="str">
        <f t="shared" si="26"/>
        <v/>
      </c>
    </row>
    <row r="256" spans="6:17" x14ac:dyDescent="0.25">
      <c r="F256" s="81" t="str">
        <f>IF($B256="","",IF(AND($B$2="Salary Points 3 to 57",B256&lt;Thresholds_Rates!$C$16),"-",IF(SUMIF(Grades!$A:$A,$B$2,Grades!$BO:$BO)=0,"-",IF(AND($B$2="Salary Points 3 to 57",B256&gt;=Thresholds_Rates!$C$16),$C256*Thresholds_Rates!$F$15,IF(AND(OR($B$2="New Consultant Contract"),$B256&lt;&gt;""),$C256*Thresholds_Rates!$F$15,IF(AND(OR($B$2="Clinical Lecturer / Medical Research Fellow",$B$2="Clinical Consultant - Old Contract (GP)"),$B256&lt;&gt;""),$C256*Thresholds_Rates!$F$15,IF(OR($B$2="APM Level 7",$B$2="R&amp;T Level 7"),$C256*Thresholds_Rates!$F$15,IF(SUMIF(Grades!$A:$A,$B$2,Grades!$BO:$BO)=1,$C256*Thresholds_Rates!$F$15,""))))))))</f>
        <v/>
      </c>
      <c r="M256" s="81" t="str">
        <f t="shared" si="22"/>
        <v/>
      </c>
      <c r="N256" s="81" t="str">
        <f t="shared" si="23"/>
        <v/>
      </c>
      <c r="O256" s="81" t="str">
        <f t="shared" si="24"/>
        <v/>
      </c>
      <c r="P256" s="81" t="str">
        <f t="shared" si="25"/>
        <v/>
      </c>
      <c r="Q256" s="81" t="str">
        <f t="shared" si="26"/>
        <v/>
      </c>
    </row>
    <row r="257" spans="6:17" x14ac:dyDescent="0.25">
      <c r="F257" s="81" t="str">
        <f>IF($B257="","",IF(AND($B$2="Salary Points 3 to 57",B257&lt;Thresholds_Rates!$C$16),"-",IF(SUMIF(Grades!$A:$A,$B$2,Grades!$BO:$BO)=0,"-",IF(AND($B$2="Salary Points 3 to 57",B257&gt;=Thresholds_Rates!$C$16),$C257*Thresholds_Rates!$F$15,IF(AND(OR($B$2="New Consultant Contract"),$B257&lt;&gt;""),$C257*Thresholds_Rates!$F$15,IF(AND(OR($B$2="Clinical Lecturer / Medical Research Fellow",$B$2="Clinical Consultant - Old Contract (GP)"),$B257&lt;&gt;""),$C257*Thresholds_Rates!$F$15,IF(OR($B$2="APM Level 7",$B$2="R&amp;T Level 7"),$C257*Thresholds_Rates!$F$15,IF(SUMIF(Grades!$A:$A,$B$2,Grades!$BO:$BO)=1,$C257*Thresholds_Rates!$F$15,""))))))))</f>
        <v/>
      </c>
      <c r="M257" s="81" t="str">
        <f t="shared" si="22"/>
        <v/>
      </c>
      <c r="N257" s="81" t="str">
        <f t="shared" si="23"/>
        <v/>
      </c>
      <c r="O257" s="81" t="str">
        <f t="shared" si="24"/>
        <v/>
      </c>
      <c r="P257" s="81" t="str">
        <f t="shared" si="25"/>
        <v/>
      </c>
      <c r="Q257" s="81" t="str">
        <f t="shared" si="26"/>
        <v/>
      </c>
    </row>
    <row r="258" spans="6:17" x14ac:dyDescent="0.25">
      <c r="F258" s="81" t="str">
        <f>IF($B258="","",IF(AND($B$2="Salary Points 3 to 57",B258&lt;Thresholds_Rates!$C$16),"-",IF(SUMIF(Grades!$A:$A,$B$2,Grades!$BO:$BO)=0,"-",IF(AND($B$2="Salary Points 3 to 57",B258&gt;=Thresholds_Rates!$C$16),$C258*Thresholds_Rates!$F$15,IF(AND(OR($B$2="New Consultant Contract"),$B258&lt;&gt;""),$C258*Thresholds_Rates!$F$15,IF(AND(OR($B$2="Clinical Lecturer / Medical Research Fellow",$B$2="Clinical Consultant - Old Contract (GP)"),$B258&lt;&gt;""),$C258*Thresholds_Rates!$F$15,IF(OR($B$2="APM Level 7",$B$2="R&amp;T Level 7"),$C258*Thresholds_Rates!$F$15,IF(SUMIF(Grades!$A:$A,$B$2,Grades!$BO:$BO)=1,$C258*Thresholds_Rates!$F$15,""))))))))</f>
        <v/>
      </c>
      <c r="M258" s="81" t="str">
        <f t="shared" si="22"/>
        <v/>
      </c>
      <c r="N258" s="81" t="str">
        <f t="shared" si="23"/>
        <v/>
      </c>
      <c r="O258" s="81" t="str">
        <f t="shared" si="24"/>
        <v/>
      </c>
      <c r="P258" s="81" t="str">
        <f t="shared" si="25"/>
        <v/>
      </c>
      <c r="Q258" s="81" t="str">
        <f t="shared" si="26"/>
        <v/>
      </c>
    </row>
    <row r="259" spans="6:17" x14ac:dyDescent="0.25">
      <c r="F259" s="81" t="str">
        <f>IF($B259="","",IF(AND($B$2="Salary Points 3 to 57",B259&lt;Thresholds_Rates!$C$16),"-",IF(SUMIF(Grades!$A:$A,$B$2,Grades!$BO:$BO)=0,"-",IF(AND($B$2="Salary Points 3 to 57",B259&gt;=Thresholds_Rates!$C$16),$C259*Thresholds_Rates!$F$15,IF(AND(OR($B$2="New Consultant Contract"),$B259&lt;&gt;""),$C259*Thresholds_Rates!$F$15,IF(AND(OR($B$2="Clinical Lecturer / Medical Research Fellow",$B$2="Clinical Consultant - Old Contract (GP)"),$B259&lt;&gt;""),$C259*Thresholds_Rates!$F$15,IF(OR($B$2="APM Level 7",$B$2="R&amp;T Level 7"),$C259*Thresholds_Rates!$F$15,IF(SUMIF(Grades!$A:$A,$B$2,Grades!$BO:$BO)=1,$C259*Thresholds_Rates!$F$15,""))))))))</f>
        <v/>
      </c>
      <c r="M259" s="81" t="str">
        <f t="shared" si="22"/>
        <v/>
      </c>
      <c r="N259" s="81" t="str">
        <f t="shared" si="23"/>
        <v/>
      </c>
      <c r="O259" s="81" t="str">
        <f t="shared" si="24"/>
        <v/>
      </c>
      <c r="P259" s="81" t="str">
        <f t="shared" si="25"/>
        <v/>
      </c>
      <c r="Q259" s="81" t="str">
        <f t="shared" si="26"/>
        <v/>
      </c>
    </row>
    <row r="260" spans="6:17" x14ac:dyDescent="0.25">
      <c r="F260" s="81" t="str">
        <f>IF($B260="","",IF(AND($B$2="Salary Points 3 to 57",B260&lt;Thresholds_Rates!$C$16),"-",IF(SUMIF(Grades!$A:$A,$B$2,Grades!$BO:$BO)=0,"-",IF(AND($B$2="Salary Points 3 to 57",B260&gt;=Thresholds_Rates!$C$16),$C260*Thresholds_Rates!$F$15,IF(AND(OR($B$2="New Consultant Contract"),$B260&lt;&gt;""),$C260*Thresholds_Rates!$F$15,IF(AND(OR($B$2="Clinical Lecturer / Medical Research Fellow",$B$2="Clinical Consultant - Old Contract (GP)"),$B260&lt;&gt;""),$C260*Thresholds_Rates!$F$15,IF(OR($B$2="APM Level 7",$B$2="R&amp;T Level 7"),$C260*Thresholds_Rates!$F$15,IF(SUMIF(Grades!$A:$A,$B$2,Grades!$BO:$BO)=1,$C260*Thresholds_Rates!$F$15,""))))))))</f>
        <v/>
      </c>
      <c r="M260" s="81" t="str">
        <f t="shared" si="22"/>
        <v/>
      </c>
      <c r="N260" s="81" t="str">
        <f t="shared" si="23"/>
        <v/>
      </c>
      <c r="O260" s="81" t="str">
        <f t="shared" si="24"/>
        <v/>
      </c>
      <c r="P260" s="81" t="str">
        <f t="shared" si="25"/>
        <v/>
      </c>
      <c r="Q260" s="81" t="str">
        <f t="shared" si="26"/>
        <v/>
      </c>
    </row>
    <row r="261" spans="6:17" x14ac:dyDescent="0.25">
      <c r="F261" s="81" t="str">
        <f>IF($B261="","",IF(AND($B$2="Salary Points 3 to 57",B261&lt;Thresholds_Rates!$C$16),"-",IF(SUMIF(Grades!$A:$A,$B$2,Grades!$BO:$BO)=0,"-",IF(AND($B$2="Salary Points 3 to 57",B261&gt;=Thresholds_Rates!$C$16),$C261*Thresholds_Rates!$F$15,IF(AND(OR($B$2="New Consultant Contract"),$B261&lt;&gt;""),$C261*Thresholds_Rates!$F$15,IF(AND(OR($B$2="Clinical Lecturer / Medical Research Fellow",$B$2="Clinical Consultant - Old Contract (GP)"),$B261&lt;&gt;""),$C261*Thresholds_Rates!$F$15,IF(OR($B$2="APM Level 7",$B$2="R&amp;T Level 7"),$C261*Thresholds_Rates!$F$15,IF(SUMIF(Grades!$A:$A,$B$2,Grades!$BO:$BO)=1,$C261*Thresholds_Rates!$F$15,""))))))))</f>
        <v/>
      </c>
      <c r="M261" s="81" t="str">
        <f t="shared" si="22"/>
        <v/>
      </c>
      <c r="N261" s="81" t="str">
        <f t="shared" si="23"/>
        <v/>
      </c>
      <c r="O261" s="81" t="str">
        <f t="shared" si="24"/>
        <v/>
      </c>
      <c r="P261" s="81" t="str">
        <f t="shared" si="25"/>
        <v/>
      </c>
      <c r="Q261" s="81" t="str">
        <f t="shared" si="26"/>
        <v/>
      </c>
    </row>
    <row r="262" spans="6:17" x14ac:dyDescent="0.25">
      <c r="F262" s="81" t="str">
        <f>IF($B262="","",IF(AND($B$2="Salary Points 3 to 57",B262&lt;Thresholds_Rates!$C$16),"-",IF(SUMIF(Grades!$A:$A,$B$2,Grades!$BO:$BO)=0,"-",IF(AND($B$2="Salary Points 3 to 57",B262&gt;=Thresholds_Rates!$C$16),$C262*Thresholds_Rates!$F$15,IF(AND(OR($B$2="New Consultant Contract"),$B262&lt;&gt;""),$C262*Thresholds_Rates!$F$15,IF(AND(OR($B$2="Clinical Lecturer / Medical Research Fellow",$B$2="Clinical Consultant - Old Contract (GP)"),$B262&lt;&gt;""),$C262*Thresholds_Rates!$F$15,IF(OR($B$2="APM Level 7",$B$2="R&amp;T Level 7"),$C262*Thresholds_Rates!$F$15,IF(SUMIF(Grades!$A:$A,$B$2,Grades!$BO:$BO)=1,$C262*Thresholds_Rates!$F$15,""))))))))</f>
        <v/>
      </c>
      <c r="M262" s="81" t="str">
        <f t="shared" si="22"/>
        <v/>
      </c>
      <c r="N262" s="81" t="str">
        <f t="shared" si="23"/>
        <v/>
      </c>
      <c r="O262" s="81" t="str">
        <f t="shared" si="24"/>
        <v/>
      </c>
      <c r="P262" s="81" t="str">
        <f t="shared" si="25"/>
        <v/>
      </c>
      <c r="Q262" s="81" t="str">
        <f t="shared" si="26"/>
        <v/>
      </c>
    </row>
    <row r="263" spans="6:17" x14ac:dyDescent="0.25">
      <c r="F263" s="81" t="str">
        <f>IF($B263="","",IF(AND($B$2="Salary Points 3 to 57",B263&lt;Thresholds_Rates!$C$16),"-",IF(SUMIF(Grades!$A:$A,$B$2,Grades!$BO:$BO)=0,"-",IF(AND($B$2="Salary Points 3 to 57",B263&gt;=Thresholds_Rates!$C$16),$C263*Thresholds_Rates!$F$15,IF(AND(OR($B$2="New Consultant Contract"),$B263&lt;&gt;""),$C263*Thresholds_Rates!$F$15,IF(AND(OR($B$2="Clinical Lecturer / Medical Research Fellow",$B$2="Clinical Consultant - Old Contract (GP)"),$B263&lt;&gt;""),$C263*Thresholds_Rates!$F$15,IF(OR($B$2="APM Level 7",$B$2="R&amp;T Level 7"),$C263*Thresholds_Rates!$F$15,IF(SUMIF(Grades!$A:$A,$B$2,Grades!$BO:$BO)=1,$C263*Thresholds_Rates!$F$15,""))))))))</f>
        <v/>
      </c>
      <c r="M263" s="81" t="str">
        <f t="shared" si="22"/>
        <v/>
      </c>
      <c r="N263" s="81" t="str">
        <f t="shared" si="23"/>
        <v/>
      </c>
      <c r="O263" s="81" t="str">
        <f t="shared" si="24"/>
        <v/>
      </c>
      <c r="P263" s="81" t="str">
        <f t="shared" si="25"/>
        <v/>
      </c>
      <c r="Q263" s="81" t="str">
        <f t="shared" si="26"/>
        <v/>
      </c>
    </row>
    <row r="264" spans="6:17" x14ac:dyDescent="0.25">
      <c r="F264" s="81" t="str">
        <f>IF($B264="","",IF(AND($B$2="Salary Points 3 to 57",B264&lt;Thresholds_Rates!$C$16),"-",IF(SUMIF(Grades!$A:$A,$B$2,Grades!$BO:$BO)=0,"-",IF(AND($B$2="Salary Points 3 to 57",B264&gt;=Thresholds_Rates!$C$16),$C264*Thresholds_Rates!$F$15,IF(AND(OR($B$2="New Consultant Contract"),$B264&lt;&gt;""),$C264*Thresholds_Rates!$F$15,IF(AND(OR($B$2="Clinical Lecturer / Medical Research Fellow",$B$2="Clinical Consultant - Old Contract (GP)"),$B264&lt;&gt;""),$C264*Thresholds_Rates!$F$15,IF(OR($B$2="APM Level 7",$B$2="R&amp;T Level 7"),$C264*Thresholds_Rates!$F$15,IF(SUMIF(Grades!$A:$A,$B$2,Grades!$BO:$BO)=1,$C264*Thresholds_Rates!$F$15,""))))))))</f>
        <v/>
      </c>
      <c r="M264" s="81" t="str">
        <f t="shared" si="22"/>
        <v/>
      </c>
      <c r="N264" s="81" t="str">
        <f t="shared" si="23"/>
        <v/>
      </c>
      <c r="O264" s="81" t="str">
        <f t="shared" si="24"/>
        <v/>
      </c>
      <c r="P264" s="81" t="str">
        <f t="shared" si="25"/>
        <v/>
      </c>
      <c r="Q264" s="81" t="str">
        <f t="shared" si="26"/>
        <v/>
      </c>
    </row>
    <row r="265" spans="6:17" x14ac:dyDescent="0.25">
      <c r="F265" s="81" t="str">
        <f>IF($B265="","",IF(AND($B$2="Salary Points 3 to 57",B265&lt;Thresholds_Rates!$C$16),"-",IF(SUMIF(Grades!$A:$A,$B$2,Grades!$BO:$BO)=0,"-",IF(AND($B$2="Salary Points 3 to 57",B265&gt;=Thresholds_Rates!$C$16),$C265*Thresholds_Rates!$F$15,IF(AND(OR($B$2="New Consultant Contract"),$B265&lt;&gt;""),$C265*Thresholds_Rates!$F$15,IF(AND(OR($B$2="Clinical Lecturer / Medical Research Fellow",$B$2="Clinical Consultant - Old Contract (GP)"),$B265&lt;&gt;""),$C265*Thresholds_Rates!$F$15,IF(OR($B$2="APM Level 7",$B$2="R&amp;T Level 7"),$C265*Thresholds_Rates!$F$15,IF(SUMIF(Grades!$A:$A,$B$2,Grades!$BO:$BO)=1,$C265*Thresholds_Rates!$F$15,""))))))))</f>
        <v/>
      </c>
      <c r="M265" s="81" t="str">
        <f t="shared" si="22"/>
        <v/>
      </c>
      <c r="N265" s="81" t="str">
        <f t="shared" si="23"/>
        <v/>
      </c>
      <c r="O265" s="81" t="str">
        <f t="shared" si="24"/>
        <v/>
      </c>
      <c r="P265" s="81" t="str">
        <f t="shared" si="25"/>
        <v/>
      </c>
      <c r="Q265" s="81" t="str">
        <f t="shared" si="26"/>
        <v/>
      </c>
    </row>
    <row r="266" spans="6:17" x14ac:dyDescent="0.25">
      <c r="F266" s="81" t="str">
        <f>IF($B266="","",IF(AND($B$2="Salary Points 3 to 57",B266&lt;Thresholds_Rates!$C$16),"-",IF(SUMIF(Grades!$A:$A,$B$2,Grades!$BO:$BO)=0,"-",IF(AND($B$2="Salary Points 3 to 57",B266&gt;=Thresholds_Rates!$C$16),$C266*Thresholds_Rates!$F$15,IF(AND(OR($B$2="New Consultant Contract"),$B266&lt;&gt;""),$C266*Thresholds_Rates!$F$15,IF(AND(OR($B$2="Clinical Lecturer / Medical Research Fellow",$B$2="Clinical Consultant - Old Contract (GP)"),$B266&lt;&gt;""),$C266*Thresholds_Rates!$F$15,IF(OR($B$2="APM Level 7",$B$2="R&amp;T Level 7"),$C266*Thresholds_Rates!$F$15,IF(SUMIF(Grades!$A:$A,$B$2,Grades!$BO:$BO)=1,$C266*Thresholds_Rates!$F$15,""))))))))</f>
        <v/>
      </c>
      <c r="M266" s="81" t="str">
        <f t="shared" si="22"/>
        <v/>
      </c>
      <c r="N266" s="81" t="str">
        <f t="shared" si="23"/>
        <v/>
      </c>
      <c r="O266" s="81" t="str">
        <f t="shared" si="24"/>
        <v/>
      </c>
      <c r="P266" s="81" t="str">
        <f t="shared" si="25"/>
        <v/>
      </c>
      <c r="Q266" s="81" t="str">
        <f t="shared" si="26"/>
        <v/>
      </c>
    </row>
    <row r="267" spans="6:17" x14ac:dyDescent="0.25">
      <c r="F267" s="81" t="str">
        <f>IF($B267="","",IF(AND($B$2="Salary Points 3 to 57",B267&lt;Thresholds_Rates!$C$16),"-",IF(SUMIF(Grades!$A:$A,$B$2,Grades!$BO:$BO)=0,"-",IF(AND($B$2="Salary Points 3 to 57",B267&gt;=Thresholds_Rates!$C$16),$C267*Thresholds_Rates!$F$15,IF(AND(OR($B$2="New Consultant Contract"),$B267&lt;&gt;""),$C267*Thresholds_Rates!$F$15,IF(AND(OR($B$2="Clinical Lecturer / Medical Research Fellow",$B$2="Clinical Consultant - Old Contract (GP)"),$B267&lt;&gt;""),$C267*Thresholds_Rates!$F$15,IF(OR($B$2="APM Level 7",$B$2="R&amp;T Level 7"),$C267*Thresholds_Rates!$F$15,IF(SUMIF(Grades!$A:$A,$B$2,Grades!$BO:$BO)=1,$C267*Thresholds_Rates!$F$15,""))))))))</f>
        <v/>
      </c>
      <c r="M267" s="81" t="str">
        <f t="shared" si="22"/>
        <v/>
      </c>
      <c r="N267" s="81" t="str">
        <f t="shared" si="23"/>
        <v/>
      </c>
      <c r="O267" s="81" t="str">
        <f t="shared" si="24"/>
        <v/>
      </c>
      <c r="P267" s="81" t="str">
        <f t="shared" si="25"/>
        <v/>
      </c>
      <c r="Q267" s="81" t="str">
        <f t="shared" si="26"/>
        <v/>
      </c>
    </row>
    <row r="268" spans="6:17" x14ac:dyDescent="0.25">
      <c r="F268" s="81" t="str">
        <f>IF($B268="","",IF(AND($B$2="Salary Points 3 to 57",B268&lt;Thresholds_Rates!$C$16),"-",IF(SUMIF(Grades!$A:$A,$B$2,Grades!$BO:$BO)=0,"-",IF(AND($B$2="Salary Points 3 to 57",B268&gt;=Thresholds_Rates!$C$16),$C268*Thresholds_Rates!$F$15,IF(AND(OR($B$2="New Consultant Contract"),$B268&lt;&gt;""),$C268*Thresholds_Rates!$F$15,IF(AND(OR($B$2="Clinical Lecturer / Medical Research Fellow",$B$2="Clinical Consultant - Old Contract (GP)"),$B268&lt;&gt;""),$C268*Thresholds_Rates!$F$15,IF(OR($B$2="APM Level 7",$B$2="R&amp;T Level 7"),$C268*Thresholds_Rates!$F$15,IF(SUMIF(Grades!$A:$A,$B$2,Grades!$BO:$BO)=1,$C268*Thresholds_Rates!$F$15,""))))))))</f>
        <v/>
      </c>
      <c r="M268" s="81" t="str">
        <f t="shared" si="22"/>
        <v/>
      </c>
      <c r="N268" s="81" t="str">
        <f t="shared" si="23"/>
        <v/>
      </c>
      <c r="O268" s="81" t="str">
        <f t="shared" si="24"/>
        <v/>
      </c>
      <c r="P268" s="81" t="str">
        <f t="shared" si="25"/>
        <v/>
      </c>
      <c r="Q268" s="81" t="str">
        <f t="shared" si="26"/>
        <v/>
      </c>
    </row>
    <row r="269" spans="6:17" x14ac:dyDescent="0.25">
      <c r="F269" s="81" t="str">
        <f>IF($B269="","",IF(AND($B$2="Salary Points 3 to 57",B269&lt;Thresholds_Rates!$C$16),"-",IF(SUMIF(Grades!$A:$A,$B$2,Grades!$BO:$BO)=0,"-",IF(AND($B$2="Salary Points 3 to 57",B269&gt;=Thresholds_Rates!$C$16),$C269*Thresholds_Rates!$F$15,IF(AND(OR($B$2="New Consultant Contract"),$B269&lt;&gt;""),$C269*Thresholds_Rates!$F$15,IF(AND(OR($B$2="Clinical Lecturer / Medical Research Fellow",$B$2="Clinical Consultant - Old Contract (GP)"),$B269&lt;&gt;""),$C269*Thresholds_Rates!$F$15,IF(OR($B$2="APM Level 7",$B$2="R&amp;T Level 7"),$C269*Thresholds_Rates!$F$15,IF(SUMIF(Grades!$A:$A,$B$2,Grades!$BO:$BO)=1,$C269*Thresholds_Rates!$F$15,""))))))))</f>
        <v/>
      </c>
      <c r="M269" s="81" t="str">
        <f t="shared" si="22"/>
        <v/>
      </c>
      <c r="N269" s="81" t="str">
        <f t="shared" si="23"/>
        <v/>
      </c>
      <c r="O269" s="81" t="str">
        <f t="shared" si="24"/>
        <v/>
      </c>
      <c r="P269" s="81" t="str">
        <f t="shared" si="25"/>
        <v/>
      </c>
      <c r="Q269" s="81" t="str">
        <f t="shared" si="26"/>
        <v/>
      </c>
    </row>
    <row r="270" spans="6:17" x14ac:dyDescent="0.25">
      <c r="F270" s="81" t="str">
        <f>IF($B270="","",IF(AND($B$2="Salary Points 3 to 57",B270&lt;Thresholds_Rates!$C$16),"-",IF(SUMIF(Grades!$A:$A,$B$2,Grades!$BO:$BO)=0,"-",IF(AND($B$2="Salary Points 3 to 57",B270&gt;=Thresholds_Rates!$C$16),$C270*Thresholds_Rates!$F$15,IF(AND(OR($B$2="New Consultant Contract"),$B270&lt;&gt;""),$C270*Thresholds_Rates!$F$15,IF(AND(OR($B$2="Clinical Lecturer / Medical Research Fellow",$B$2="Clinical Consultant - Old Contract (GP)"),$B270&lt;&gt;""),$C270*Thresholds_Rates!$F$15,IF(OR($B$2="APM Level 7",$B$2="R&amp;T Level 7"),$C270*Thresholds_Rates!$F$15,IF(SUMIF(Grades!$A:$A,$B$2,Grades!$BO:$BO)=1,$C270*Thresholds_Rates!$F$15,""))))))))</f>
        <v/>
      </c>
      <c r="M270" s="81" t="str">
        <f t="shared" si="22"/>
        <v/>
      </c>
      <c r="N270" s="81" t="str">
        <f t="shared" si="23"/>
        <v/>
      </c>
      <c r="O270" s="81" t="str">
        <f t="shared" si="24"/>
        <v/>
      </c>
      <c r="P270" s="81" t="str">
        <f t="shared" si="25"/>
        <v/>
      </c>
      <c r="Q270" s="81" t="str">
        <f t="shared" si="26"/>
        <v/>
      </c>
    </row>
    <row r="271" spans="6:17" x14ac:dyDescent="0.25">
      <c r="F271" s="81" t="str">
        <f>IF($B271="","",IF(AND($B$2="Salary Points 3 to 57",B271&lt;Thresholds_Rates!$C$16),"-",IF(SUMIF(Grades!$A:$A,$B$2,Grades!$BO:$BO)=0,"-",IF(AND($B$2="Salary Points 3 to 57",B271&gt;=Thresholds_Rates!$C$16),$C271*Thresholds_Rates!$F$15,IF(AND(OR($B$2="New Consultant Contract"),$B271&lt;&gt;""),$C271*Thresholds_Rates!$F$15,IF(AND(OR($B$2="Clinical Lecturer / Medical Research Fellow",$B$2="Clinical Consultant - Old Contract (GP)"),$B271&lt;&gt;""),$C271*Thresholds_Rates!$F$15,IF(OR($B$2="APM Level 7",$B$2="R&amp;T Level 7"),$C271*Thresholds_Rates!$F$15,IF(SUMIF(Grades!$A:$A,$B$2,Grades!$BO:$BO)=1,$C271*Thresholds_Rates!$F$15,""))))))))</f>
        <v/>
      </c>
      <c r="M271" s="81" t="str">
        <f t="shared" si="22"/>
        <v/>
      </c>
      <c r="N271" s="81" t="str">
        <f t="shared" si="23"/>
        <v/>
      </c>
      <c r="O271" s="81" t="str">
        <f t="shared" si="24"/>
        <v/>
      </c>
      <c r="P271" s="81" t="str">
        <f t="shared" si="25"/>
        <v/>
      </c>
      <c r="Q271" s="81" t="str">
        <f t="shared" si="26"/>
        <v/>
      </c>
    </row>
    <row r="272" spans="6:17" x14ac:dyDescent="0.25">
      <c r="F272" s="81" t="str">
        <f>IF($B272="","",IF(AND($B$2="Salary Points 3 to 57",B272&lt;Thresholds_Rates!$C$16),"-",IF(SUMIF(Grades!$A:$A,$B$2,Grades!$BO:$BO)=0,"-",IF(AND($B$2="Salary Points 3 to 57",B272&gt;=Thresholds_Rates!$C$16),$C272*Thresholds_Rates!$F$15,IF(AND(OR($B$2="New Consultant Contract"),$B272&lt;&gt;""),$C272*Thresholds_Rates!$F$15,IF(AND(OR($B$2="Clinical Lecturer / Medical Research Fellow",$B$2="Clinical Consultant - Old Contract (GP)"),$B272&lt;&gt;""),$C272*Thresholds_Rates!$F$15,IF(OR($B$2="APM Level 7",$B$2="R&amp;T Level 7"),$C272*Thresholds_Rates!$F$15,IF(SUMIF(Grades!$A:$A,$B$2,Grades!$BO:$BO)=1,$C272*Thresholds_Rates!$F$15,""))))))))</f>
        <v/>
      </c>
      <c r="M272" s="81" t="str">
        <f t="shared" si="22"/>
        <v/>
      </c>
      <c r="N272" s="81" t="str">
        <f t="shared" si="23"/>
        <v/>
      </c>
      <c r="O272" s="81" t="str">
        <f t="shared" si="24"/>
        <v/>
      </c>
      <c r="P272" s="81" t="str">
        <f t="shared" si="25"/>
        <v/>
      </c>
      <c r="Q272" s="81" t="str">
        <f t="shared" si="26"/>
        <v/>
      </c>
    </row>
    <row r="273" spans="6:17" x14ac:dyDescent="0.25">
      <c r="F273" s="81" t="str">
        <f>IF($B273="","",IF(AND($B$2="Salary Points 3 to 57",B273&lt;Thresholds_Rates!$C$16),"-",IF(SUMIF(Grades!$A:$A,$B$2,Grades!$BO:$BO)=0,"-",IF(AND($B$2="Salary Points 3 to 57",B273&gt;=Thresholds_Rates!$C$16),$C273*Thresholds_Rates!$F$15,IF(AND(OR($B$2="New Consultant Contract"),$B273&lt;&gt;""),$C273*Thresholds_Rates!$F$15,IF(AND(OR($B$2="Clinical Lecturer / Medical Research Fellow",$B$2="Clinical Consultant - Old Contract (GP)"),$B273&lt;&gt;""),$C273*Thresholds_Rates!$F$15,IF(OR($B$2="APM Level 7",$B$2="R&amp;T Level 7"),$C273*Thresholds_Rates!$F$15,IF(SUMIF(Grades!$A:$A,$B$2,Grades!$BO:$BO)=1,$C273*Thresholds_Rates!$F$15,""))))))))</f>
        <v/>
      </c>
      <c r="M273" s="81" t="str">
        <f t="shared" si="22"/>
        <v/>
      </c>
      <c r="N273" s="81" t="str">
        <f t="shared" si="23"/>
        <v/>
      </c>
      <c r="O273" s="81" t="str">
        <f t="shared" si="24"/>
        <v/>
      </c>
      <c r="P273" s="81" t="str">
        <f t="shared" si="25"/>
        <v/>
      </c>
      <c r="Q273" s="81" t="str">
        <f t="shared" si="26"/>
        <v/>
      </c>
    </row>
    <row r="274" spans="6:17" x14ac:dyDescent="0.25">
      <c r="F274" s="81" t="str">
        <f>IF($B274="","",IF(AND($B$2="Salary Points 3 to 57",B274&lt;Thresholds_Rates!$C$16),"-",IF(SUMIF(Grades!$A:$A,$B$2,Grades!$BO:$BO)=0,"-",IF(AND($B$2="Salary Points 3 to 57",B274&gt;=Thresholds_Rates!$C$16),$C274*Thresholds_Rates!$F$15,IF(AND(OR($B$2="New Consultant Contract"),$B274&lt;&gt;""),$C274*Thresholds_Rates!$F$15,IF(AND(OR($B$2="Clinical Lecturer / Medical Research Fellow",$B$2="Clinical Consultant - Old Contract (GP)"),$B274&lt;&gt;""),$C274*Thresholds_Rates!$F$15,IF(OR($B$2="APM Level 7",$B$2="R&amp;T Level 7"),$C274*Thresholds_Rates!$F$15,IF(SUMIF(Grades!$A:$A,$B$2,Grades!$BO:$BO)=1,$C274*Thresholds_Rates!$F$15,""))))))))</f>
        <v/>
      </c>
      <c r="M274" s="81" t="str">
        <f t="shared" si="22"/>
        <v/>
      </c>
      <c r="N274" s="81" t="str">
        <f t="shared" si="23"/>
        <v/>
      </c>
      <c r="O274" s="81" t="str">
        <f t="shared" si="24"/>
        <v/>
      </c>
      <c r="P274" s="81" t="str">
        <f t="shared" si="25"/>
        <v/>
      </c>
      <c r="Q274" s="81" t="str">
        <f t="shared" si="26"/>
        <v/>
      </c>
    </row>
    <row r="275" spans="6:17" x14ac:dyDescent="0.25">
      <c r="F275" s="81" t="str">
        <f>IF($B275="","",IF(AND($B$2="Salary Points 3 to 57",B275&lt;Thresholds_Rates!$C$16),"-",IF(SUMIF(Grades!$A:$A,$B$2,Grades!$BO:$BO)=0,"-",IF(AND($B$2="Salary Points 3 to 57",B275&gt;=Thresholds_Rates!$C$16),$C275*Thresholds_Rates!$F$15,IF(AND(OR($B$2="New Consultant Contract"),$B275&lt;&gt;""),$C275*Thresholds_Rates!$F$15,IF(AND(OR($B$2="Clinical Lecturer / Medical Research Fellow",$B$2="Clinical Consultant - Old Contract (GP)"),$B275&lt;&gt;""),$C275*Thresholds_Rates!$F$15,IF(OR($B$2="APM Level 7",$B$2="R&amp;T Level 7"),$C275*Thresholds_Rates!$F$15,IF(SUMIF(Grades!$A:$A,$B$2,Grades!$BO:$BO)=1,$C275*Thresholds_Rates!$F$15,""))))))))</f>
        <v/>
      </c>
      <c r="M275" s="81" t="str">
        <f t="shared" si="22"/>
        <v/>
      </c>
      <c r="N275" s="81" t="str">
        <f t="shared" si="23"/>
        <v/>
      </c>
      <c r="O275" s="81" t="str">
        <f t="shared" si="24"/>
        <v/>
      </c>
      <c r="P275" s="81" t="str">
        <f t="shared" si="25"/>
        <v/>
      </c>
      <c r="Q275" s="81" t="str">
        <f t="shared" si="26"/>
        <v/>
      </c>
    </row>
    <row r="276" spans="6:17" x14ac:dyDescent="0.25">
      <c r="F276" s="81" t="str">
        <f>IF($B276="","",IF(AND($B$2="Salary Points 3 to 57",B276&lt;Thresholds_Rates!$C$16),"-",IF(SUMIF(Grades!$A:$A,$B$2,Grades!$BO:$BO)=0,"-",IF(AND($B$2="Salary Points 3 to 57",B276&gt;=Thresholds_Rates!$C$16),$C276*Thresholds_Rates!$F$15,IF(AND(OR($B$2="New Consultant Contract"),$B276&lt;&gt;""),$C276*Thresholds_Rates!$F$15,IF(AND(OR($B$2="Clinical Lecturer / Medical Research Fellow",$B$2="Clinical Consultant - Old Contract (GP)"),$B276&lt;&gt;""),$C276*Thresholds_Rates!$F$15,IF(OR($B$2="APM Level 7",$B$2="R&amp;T Level 7"),$C276*Thresholds_Rates!$F$15,IF(SUMIF(Grades!$A:$A,$B$2,Grades!$BO:$BO)=1,$C276*Thresholds_Rates!$F$15,""))))))))</f>
        <v/>
      </c>
      <c r="M276" s="81" t="str">
        <f t="shared" si="22"/>
        <v/>
      </c>
      <c r="N276" s="81" t="str">
        <f t="shared" si="23"/>
        <v/>
      </c>
      <c r="O276" s="81" t="str">
        <f t="shared" si="24"/>
        <v/>
      </c>
      <c r="P276" s="81" t="str">
        <f t="shared" si="25"/>
        <v/>
      </c>
      <c r="Q276" s="81" t="str">
        <f t="shared" si="26"/>
        <v/>
      </c>
    </row>
    <row r="277" spans="6:17" x14ac:dyDescent="0.25">
      <c r="F277" s="81" t="str">
        <f>IF($B277="","",IF(AND($B$2="Salary Points 3 to 57",B277&lt;Thresholds_Rates!$C$16),"-",IF(SUMIF(Grades!$A:$A,$B$2,Grades!$BO:$BO)=0,"-",IF(AND($B$2="Salary Points 3 to 57",B277&gt;=Thresholds_Rates!$C$16),$C277*Thresholds_Rates!$F$15,IF(AND(OR($B$2="New Consultant Contract"),$B277&lt;&gt;""),$C277*Thresholds_Rates!$F$15,IF(AND(OR($B$2="Clinical Lecturer / Medical Research Fellow",$B$2="Clinical Consultant - Old Contract (GP)"),$B277&lt;&gt;""),$C277*Thresholds_Rates!$F$15,IF(OR($B$2="APM Level 7",$B$2="R&amp;T Level 7"),$C277*Thresholds_Rates!$F$15,IF(SUMIF(Grades!$A:$A,$B$2,Grades!$BO:$BO)=1,$C277*Thresholds_Rates!$F$15,""))))))))</f>
        <v/>
      </c>
      <c r="M277" s="81" t="str">
        <f t="shared" si="22"/>
        <v/>
      </c>
      <c r="N277" s="81" t="str">
        <f t="shared" si="23"/>
        <v/>
      </c>
      <c r="O277" s="81" t="str">
        <f t="shared" si="24"/>
        <v/>
      </c>
      <c r="P277" s="81" t="str">
        <f t="shared" si="25"/>
        <v/>
      </c>
      <c r="Q277" s="81" t="str">
        <f t="shared" si="26"/>
        <v/>
      </c>
    </row>
    <row r="278" spans="6:17" x14ac:dyDescent="0.25">
      <c r="F278" s="81" t="str">
        <f>IF($B278="","",IF(AND($B$2="Salary Points 3 to 57",B278&lt;Thresholds_Rates!$C$16),"-",IF(SUMIF(Grades!$A:$A,$B$2,Grades!$BO:$BO)=0,"-",IF(AND($B$2="Salary Points 3 to 57",B278&gt;=Thresholds_Rates!$C$16),$C278*Thresholds_Rates!$F$15,IF(AND(OR($B$2="New Consultant Contract"),$B278&lt;&gt;""),$C278*Thresholds_Rates!$F$15,IF(AND(OR($B$2="Clinical Lecturer / Medical Research Fellow",$B$2="Clinical Consultant - Old Contract (GP)"),$B278&lt;&gt;""),$C278*Thresholds_Rates!$F$15,IF(OR($B$2="APM Level 7",$B$2="R&amp;T Level 7"),$C278*Thresholds_Rates!$F$15,IF(SUMIF(Grades!$A:$A,$B$2,Grades!$BO:$BO)=1,$C278*Thresholds_Rates!$F$15,""))))))))</f>
        <v/>
      </c>
      <c r="M278" s="81" t="str">
        <f t="shared" si="22"/>
        <v/>
      </c>
      <c r="N278" s="81" t="str">
        <f t="shared" si="23"/>
        <v/>
      </c>
      <c r="O278" s="81" t="str">
        <f t="shared" si="24"/>
        <v/>
      </c>
      <c r="P278" s="81" t="str">
        <f t="shared" si="25"/>
        <v/>
      </c>
      <c r="Q278" s="81" t="str">
        <f t="shared" si="26"/>
        <v/>
      </c>
    </row>
    <row r="279" spans="6:17" x14ac:dyDescent="0.25">
      <c r="F279" s="81" t="str">
        <f>IF($B279="","",IF(AND($B$2="Salary Points 3 to 57",B279&lt;Thresholds_Rates!$C$16),"-",IF(SUMIF(Grades!$A:$A,$B$2,Grades!$BO:$BO)=0,"-",IF(AND($B$2="Salary Points 3 to 57",B279&gt;=Thresholds_Rates!$C$16),$C279*Thresholds_Rates!$F$15,IF(AND(OR($B$2="New Consultant Contract"),$B279&lt;&gt;""),$C279*Thresholds_Rates!$F$15,IF(AND(OR($B$2="Clinical Lecturer / Medical Research Fellow",$B$2="Clinical Consultant - Old Contract (GP)"),$B279&lt;&gt;""),$C279*Thresholds_Rates!$F$15,IF(OR($B$2="APM Level 7",$B$2="R&amp;T Level 7"),$C279*Thresholds_Rates!$F$15,IF(SUMIF(Grades!$A:$A,$B$2,Grades!$BO:$BO)=1,$C279*Thresholds_Rates!$F$15,""))))))))</f>
        <v/>
      </c>
      <c r="M279" s="81" t="str">
        <f t="shared" si="22"/>
        <v/>
      </c>
      <c r="N279" s="81" t="str">
        <f t="shared" si="23"/>
        <v/>
      </c>
      <c r="O279" s="81" t="str">
        <f t="shared" si="24"/>
        <v/>
      </c>
      <c r="P279" s="81" t="str">
        <f t="shared" si="25"/>
        <v/>
      </c>
      <c r="Q279" s="81" t="str">
        <f t="shared" si="26"/>
        <v/>
      </c>
    </row>
    <row r="280" spans="6:17" x14ac:dyDescent="0.25">
      <c r="F280" s="81" t="str">
        <f>IF($B280="","",IF(AND($B$2="Salary Points 3 to 57",B280&lt;Thresholds_Rates!$C$16),"-",IF(SUMIF(Grades!$A:$A,$B$2,Grades!$BO:$BO)=0,"-",IF(AND($B$2="Salary Points 3 to 57",B280&gt;=Thresholds_Rates!$C$16),$C280*Thresholds_Rates!$F$15,IF(AND(OR($B$2="New Consultant Contract"),$B280&lt;&gt;""),$C280*Thresholds_Rates!$F$15,IF(AND(OR($B$2="Clinical Lecturer / Medical Research Fellow",$B$2="Clinical Consultant - Old Contract (GP)"),$B280&lt;&gt;""),$C280*Thresholds_Rates!$F$15,IF(OR($B$2="APM Level 7",$B$2="R&amp;T Level 7"),$C280*Thresholds_Rates!$F$15,IF(SUMIF(Grades!$A:$A,$B$2,Grades!$BO:$BO)=1,$C280*Thresholds_Rates!$F$15,""))))))))</f>
        <v/>
      </c>
      <c r="M280" s="81" t="str">
        <f t="shared" si="22"/>
        <v/>
      </c>
      <c r="N280" s="81" t="str">
        <f t="shared" si="23"/>
        <v/>
      </c>
      <c r="O280" s="81" t="str">
        <f t="shared" si="24"/>
        <v/>
      </c>
      <c r="P280" s="81" t="str">
        <f t="shared" si="25"/>
        <v/>
      </c>
      <c r="Q280" s="81" t="str">
        <f t="shared" si="26"/>
        <v/>
      </c>
    </row>
    <row r="281" spans="6:17" x14ac:dyDescent="0.25">
      <c r="F281" s="81" t="str">
        <f>IF($B281="","",IF(AND($B$2="Salary Points 3 to 57",B281&lt;Thresholds_Rates!$C$16),"-",IF(SUMIF(Grades!$A:$A,$B$2,Grades!$BO:$BO)=0,"-",IF(AND($B$2="Salary Points 3 to 57",B281&gt;=Thresholds_Rates!$C$16),$C281*Thresholds_Rates!$F$15,IF(AND(OR($B$2="New Consultant Contract"),$B281&lt;&gt;""),$C281*Thresholds_Rates!$F$15,IF(AND(OR($B$2="Clinical Lecturer / Medical Research Fellow",$B$2="Clinical Consultant - Old Contract (GP)"),$B281&lt;&gt;""),$C281*Thresholds_Rates!$F$15,IF(OR($B$2="APM Level 7",$B$2="R&amp;T Level 7"),$C281*Thresholds_Rates!$F$15,IF(SUMIF(Grades!$A:$A,$B$2,Grades!$BO:$BO)=1,$C281*Thresholds_Rates!$F$15,""))))))))</f>
        <v/>
      </c>
      <c r="M281" s="81" t="str">
        <f t="shared" si="22"/>
        <v/>
      </c>
      <c r="N281" s="81" t="str">
        <f t="shared" si="23"/>
        <v/>
      </c>
      <c r="O281" s="81" t="str">
        <f t="shared" si="24"/>
        <v/>
      </c>
      <c r="P281" s="81" t="str">
        <f t="shared" si="25"/>
        <v/>
      </c>
      <c r="Q281" s="81" t="str">
        <f t="shared" si="26"/>
        <v/>
      </c>
    </row>
    <row r="282" spans="6:17" x14ac:dyDescent="0.25">
      <c r="F282" s="81" t="str">
        <f>IF($B282="","",IF(AND($B$2="Salary Points 3 to 57",B282&lt;Thresholds_Rates!$C$16),"-",IF(SUMIF(Grades!$A:$A,$B$2,Grades!$BO:$BO)=0,"-",IF(AND($B$2="Salary Points 3 to 57",B282&gt;=Thresholds_Rates!$C$16),$C282*Thresholds_Rates!$F$15,IF(AND(OR($B$2="New Consultant Contract"),$B282&lt;&gt;""),$C282*Thresholds_Rates!$F$15,IF(AND(OR($B$2="Clinical Lecturer / Medical Research Fellow",$B$2="Clinical Consultant - Old Contract (GP)"),$B282&lt;&gt;""),$C282*Thresholds_Rates!$F$15,IF(OR($B$2="APM Level 7",$B$2="R&amp;T Level 7"),$C282*Thresholds_Rates!$F$15,IF(SUMIF(Grades!$A:$A,$B$2,Grades!$BO:$BO)=1,$C282*Thresholds_Rates!$F$15,""))))))))</f>
        <v/>
      </c>
      <c r="M282" s="81" t="str">
        <f t="shared" si="22"/>
        <v/>
      </c>
      <c r="N282" s="81" t="str">
        <f t="shared" si="23"/>
        <v/>
      </c>
      <c r="O282" s="81" t="str">
        <f t="shared" si="24"/>
        <v/>
      </c>
      <c r="P282" s="81" t="str">
        <f t="shared" si="25"/>
        <v/>
      </c>
      <c r="Q282" s="81" t="str">
        <f t="shared" si="26"/>
        <v/>
      </c>
    </row>
    <row r="283" spans="6:17" x14ac:dyDescent="0.25">
      <c r="F283" s="81" t="str">
        <f>IF($B283="","",IF(AND($B$2="Salary Points 3 to 57",B283&lt;Thresholds_Rates!$C$16),"-",IF(SUMIF(Grades!$A:$A,$B$2,Grades!$BO:$BO)=0,"-",IF(AND($B$2="Salary Points 3 to 57",B283&gt;=Thresholds_Rates!$C$16),$C283*Thresholds_Rates!$F$15,IF(AND(OR($B$2="New Consultant Contract"),$B283&lt;&gt;""),$C283*Thresholds_Rates!$F$15,IF(AND(OR($B$2="Clinical Lecturer / Medical Research Fellow",$B$2="Clinical Consultant - Old Contract (GP)"),$B283&lt;&gt;""),$C283*Thresholds_Rates!$F$15,IF(OR($B$2="APM Level 7",$B$2="R&amp;T Level 7"),$C283*Thresholds_Rates!$F$15,IF(SUMIF(Grades!$A:$A,$B$2,Grades!$BO:$BO)=1,$C283*Thresholds_Rates!$F$15,""))))))))</f>
        <v/>
      </c>
      <c r="M283" s="81" t="str">
        <f t="shared" si="22"/>
        <v/>
      </c>
      <c r="N283" s="81" t="str">
        <f t="shared" si="23"/>
        <v/>
      </c>
      <c r="O283" s="81" t="str">
        <f t="shared" si="24"/>
        <v/>
      </c>
      <c r="P283" s="81" t="str">
        <f t="shared" si="25"/>
        <v/>
      </c>
      <c r="Q283" s="81" t="str">
        <f t="shared" si="26"/>
        <v/>
      </c>
    </row>
    <row r="284" spans="6:17" x14ac:dyDescent="0.25">
      <c r="F284" s="81" t="str">
        <f>IF($B284="","",IF(AND($B$2="Salary Points 3 to 57",B284&lt;Thresholds_Rates!$C$16),"-",IF(SUMIF(Grades!$A:$A,$B$2,Grades!$BO:$BO)=0,"-",IF(AND($B$2="Salary Points 3 to 57",B284&gt;=Thresholds_Rates!$C$16),$C284*Thresholds_Rates!$F$15,IF(AND(OR($B$2="New Consultant Contract"),$B284&lt;&gt;""),$C284*Thresholds_Rates!$F$15,IF(AND(OR($B$2="Clinical Lecturer / Medical Research Fellow",$B$2="Clinical Consultant - Old Contract (GP)"),$B284&lt;&gt;""),$C284*Thresholds_Rates!$F$15,IF(OR($B$2="APM Level 7",$B$2="R&amp;T Level 7"),$C284*Thresholds_Rates!$F$15,IF(SUMIF(Grades!$A:$A,$B$2,Grades!$BO:$BO)=1,$C284*Thresholds_Rates!$F$15,""))))))))</f>
        <v/>
      </c>
      <c r="M284" s="81" t="str">
        <f t="shared" si="22"/>
        <v/>
      </c>
      <c r="N284" s="81" t="str">
        <f t="shared" si="23"/>
        <v/>
      </c>
      <c r="O284" s="81" t="str">
        <f t="shared" si="24"/>
        <v/>
      </c>
      <c r="P284" s="81" t="str">
        <f t="shared" si="25"/>
        <v/>
      </c>
      <c r="Q284" s="81" t="str">
        <f t="shared" si="26"/>
        <v/>
      </c>
    </row>
    <row r="285" spans="6:17" x14ac:dyDescent="0.25">
      <c r="F285" s="81" t="str">
        <f>IF($B285="","",IF(AND($B$2="Salary Points 3 to 57",B285&lt;Thresholds_Rates!$C$16),"-",IF(SUMIF(Grades!$A:$A,$B$2,Grades!$BO:$BO)=0,"-",IF(AND($B$2="Salary Points 3 to 57",B285&gt;=Thresholds_Rates!$C$16),$C285*Thresholds_Rates!$F$15,IF(AND(OR($B$2="New Consultant Contract"),$B285&lt;&gt;""),$C285*Thresholds_Rates!$F$15,IF(AND(OR($B$2="Clinical Lecturer / Medical Research Fellow",$B$2="Clinical Consultant - Old Contract (GP)"),$B285&lt;&gt;""),$C285*Thresholds_Rates!$F$15,IF(OR($B$2="APM Level 7",$B$2="R&amp;T Level 7"),$C285*Thresholds_Rates!$F$15,IF(SUMIF(Grades!$A:$A,$B$2,Grades!$BO:$BO)=1,$C285*Thresholds_Rates!$F$15,""))))))))</f>
        <v/>
      </c>
      <c r="M285" s="81" t="str">
        <f t="shared" si="22"/>
        <v/>
      </c>
      <c r="N285" s="81" t="str">
        <f t="shared" si="23"/>
        <v/>
      </c>
      <c r="O285" s="81" t="str">
        <f t="shared" si="24"/>
        <v/>
      </c>
      <c r="P285" s="81" t="str">
        <f t="shared" si="25"/>
        <v/>
      </c>
      <c r="Q285" s="81" t="str">
        <f t="shared" si="26"/>
        <v/>
      </c>
    </row>
    <row r="286" spans="6:17" x14ac:dyDescent="0.25">
      <c r="F286" s="81" t="str">
        <f>IF($B286="","",IF(AND($B$2="Salary Points 3 to 57",B286&lt;Thresholds_Rates!$C$16),"-",IF(SUMIF(Grades!$A:$A,$B$2,Grades!$BO:$BO)=0,"-",IF(AND($B$2="Salary Points 3 to 57",B286&gt;=Thresholds_Rates!$C$16),$C286*Thresholds_Rates!$F$15,IF(AND(OR($B$2="New Consultant Contract"),$B286&lt;&gt;""),$C286*Thresholds_Rates!$F$15,IF(AND(OR($B$2="Clinical Lecturer / Medical Research Fellow",$B$2="Clinical Consultant - Old Contract (GP)"),$B286&lt;&gt;""),$C286*Thresholds_Rates!$F$15,IF(OR($B$2="APM Level 7",$B$2="R&amp;T Level 7"),$C286*Thresholds_Rates!$F$15,IF(SUMIF(Grades!$A:$A,$B$2,Grades!$BO:$BO)=1,$C286*Thresholds_Rates!$F$15,""))))))))</f>
        <v/>
      </c>
      <c r="M286" s="81" t="str">
        <f t="shared" si="22"/>
        <v/>
      </c>
      <c r="N286" s="81" t="str">
        <f t="shared" si="23"/>
        <v/>
      </c>
      <c r="O286" s="81" t="str">
        <f t="shared" si="24"/>
        <v/>
      </c>
      <c r="P286" s="81" t="str">
        <f t="shared" si="25"/>
        <v/>
      </c>
      <c r="Q286" s="81" t="str">
        <f t="shared" si="26"/>
        <v/>
      </c>
    </row>
    <row r="287" spans="6:17" x14ac:dyDescent="0.25">
      <c r="F287" s="81" t="str">
        <f>IF($B287="","",IF(AND($B$2="Salary Points 3 to 57",B287&lt;Thresholds_Rates!$C$16),"-",IF(SUMIF(Grades!$A:$A,$B$2,Grades!$BO:$BO)=0,"-",IF(AND($B$2="Salary Points 3 to 57",B287&gt;=Thresholds_Rates!$C$16),$C287*Thresholds_Rates!$F$15,IF(AND(OR($B$2="New Consultant Contract"),$B287&lt;&gt;""),$C287*Thresholds_Rates!$F$15,IF(AND(OR($B$2="Clinical Lecturer / Medical Research Fellow",$B$2="Clinical Consultant - Old Contract (GP)"),$B287&lt;&gt;""),$C287*Thresholds_Rates!$F$15,IF(OR($B$2="APM Level 7",$B$2="R&amp;T Level 7"),$C287*Thresholds_Rates!$F$15,IF(SUMIF(Grades!$A:$A,$B$2,Grades!$BO:$BO)=1,$C287*Thresholds_Rates!$F$15,""))))))))</f>
        <v/>
      </c>
      <c r="M287" s="81" t="str">
        <f t="shared" si="22"/>
        <v/>
      </c>
      <c r="N287" s="81" t="str">
        <f t="shared" si="23"/>
        <v/>
      </c>
      <c r="O287" s="81" t="str">
        <f t="shared" si="24"/>
        <v/>
      </c>
      <c r="P287" s="81" t="str">
        <f t="shared" si="25"/>
        <v/>
      </c>
      <c r="Q287" s="81" t="str">
        <f t="shared" si="26"/>
        <v/>
      </c>
    </row>
    <row r="288" spans="6:17" x14ac:dyDescent="0.25">
      <c r="F288" s="81" t="str">
        <f>IF($B288="","",IF(AND($B$2="Salary Points 3 to 57",B288&lt;Thresholds_Rates!$C$16),"-",IF(SUMIF(Grades!$A:$A,$B$2,Grades!$BO:$BO)=0,"-",IF(AND($B$2="Salary Points 3 to 57",B288&gt;=Thresholds_Rates!$C$16),$C288*Thresholds_Rates!$F$15,IF(AND(OR($B$2="New Consultant Contract"),$B288&lt;&gt;""),$C288*Thresholds_Rates!$F$15,IF(AND(OR($B$2="Clinical Lecturer / Medical Research Fellow",$B$2="Clinical Consultant - Old Contract (GP)"),$B288&lt;&gt;""),$C288*Thresholds_Rates!$F$15,IF(OR($B$2="APM Level 7",$B$2="R&amp;T Level 7"),$C288*Thresholds_Rates!$F$15,IF(SUMIF(Grades!$A:$A,$B$2,Grades!$BO:$BO)=1,$C288*Thresholds_Rates!$F$15,""))))))))</f>
        <v/>
      </c>
      <c r="M288" s="81" t="str">
        <f t="shared" si="22"/>
        <v/>
      </c>
      <c r="N288" s="81" t="str">
        <f t="shared" si="23"/>
        <v/>
      </c>
      <c r="O288" s="81" t="str">
        <f t="shared" si="24"/>
        <v/>
      </c>
      <c r="P288" s="81" t="str">
        <f t="shared" si="25"/>
        <v/>
      </c>
      <c r="Q288" s="81" t="str">
        <f t="shared" si="26"/>
        <v/>
      </c>
    </row>
    <row r="289" spans="6:17" x14ac:dyDescent="0.25">
      <c r="F289" s="81" t="str">
        <f>IF($B289="","",IF(AND($B$2="Salary Points 3 to 57",B289&lt;Thresholds_Rates!$C$16),"-",IF(SUMIF(Grades!$A:$A,$B$2,Grades!$BO:$BO)=0,"-",IF(AND($B$2="Salary Points 3 to 57",B289&gt;=Thresholds_Rates!$C$16),$C289*Thresholds_Rates!$F$15,IF(AND(OR($B$2="New Consultant Contract"),$B289&lt;&gt;""),$C289*Thresholds_Rates!$F$15,IF(AND(OR($B$2="Clinical Lecturer / Medical Research Fellow",$B$2="Clinical Consultant - Old Contract (GP)"),$B289&lt;&gt;""),$C289*Thresholds_Rates!$F$15,IF(OR($B$2="APM Level 7",$B$2="R&amp;T Level 7"),$C289*Thresholds_Rates!$F$15,IF(SUMIF(Grades!$A:$A,$B$2,Grades!$BO:$BO)=1,$C289*Thresholds_Rates!$F$15,""))))))))</f>
        <v/>
      </c>
      <c r="M289" s="81" t="str">
        <f t="shared" si="22"/>
        <v/>
      </c>
      <c r="N289" s="81" t="str">
        <f t="shared" si="23"/>
        <v/>
      </c>
      <c r="O289" s="81" t="str">
        <f t="shared" si="24"/>
        <v/>
      </c>
      <c r="P289" s="81" t="str">
        <f t="shared" si="25"/>
        <v/>
      </c>
      <c r="Q289" s="81" t="str">
        <f t="shared" si="26"/>
        <v/>
      </c>
    </row>
    <row r="290" spans="6:17" x14ac:dyDescent="0.25">
      <c r="F290" s="81" t="str">
        <f>IF($B290="","",IF(AND($B$2="Salary Points 3 to 57",B290&lt;Thresholds_Rates!$C$16),"-",IF(SUMIF(Grades!$A:$A,$B$2,Grades!$BO:$BO)=0,"-",IF(AND($B$2="Salary Points 3 to 57",B290&gt;=Thresholds_Rates!$C$16),$C290*Thresholds_Rates!$F$15,IF(AND(OR($B$2="New Consultant Contract"),$B290&lt;&gt;""),$C290*Thresholds_Rates!$F$15,IF(AND(OR($B$2="Clinical Lecturer / Medical Research Fellow",$B$2="Clinical Consultant - Old Contract (GP)"),$B290&lt;&gt;""),$C290*Thresholds_Rates!$F$15,IF(OR($B$2="APM Level 7",$B$2="R&amp;T Level 7"),$C290*Thresholds_Rates!$F$15,IF(SUMIF(Grades!$A:$A,$B$2,Grades!$BO:$BO)=1,$C290*Thresholds_Rates!$F$15,""))))))))</f>
        <v/>
      </c>
      <c r="M290" s="81" t="str">
        <f t="shared" si="22"/>
        <v/>
      </c>
      <c r="N290" s="81" t="str">
        <f t="shared" si="23"/>
        <v/>
      </c>
      <c r="O290" s="81" t="str">
        <f t="shared" si="24"/>
        <v/>
      </c>
      <c r="P290" s="81" t="str">
        <f t="shared" si="25"/>
        <v/>
      </c>
      <c r="Q290" s="81" t="str">
        <f t="shared" si="26"/>
        <v/>
      </c>
    </row>
    <row r="291" spans="6:17" x14ac:dyDescent="0.25">
      <c r="F291" s="81" t="str">
        <f>IF($B291="","",IF(AND($B$2="Salary Points 3 to 57",B291&lt;Thresholds_Rates!$C$16),"-",IF(SUMIF(Grades!$A:$A,$B$2,Grades!$BO:$BO)=0,"-",IF(AND($B$2="Salary Points 3 to 57",B291&gt;=Thresholds_Rates!$C$16),$C291*Thresholds_Rates!$F$15,IF(AND(OR($B$2="New Consultant Contract"),$B291&lt;&gt;""),$C291*Thresholds_Rates!$F$15,IF(AND(OR($B$2="Clinical Lecturer / Medical Research Fellow",$B$2="Clinical Consultant - Old Contract (GP)"),$B291&lt;&gt;""),$C291*Thresholds_Rates!$F$15,IF(OR($B$2="APM Level 7",$B$2="R&amp;T Level 7"),$C291*Thresholds_Rates!$F$15,IF(SUMIF(Grades!$A:$A,$B$2,Grades!$BO:$BO)=1,$C291*Thresholds_Rates!$F$15,""))))))))</f>
        <v/>
      </c>
      <c r="M291" s="81" t="str">
        <f t="shared" si="22"/>
        <v/>
      </c>
      <c r="N291" s="81" t="str">
        <f t="shared" si="23"/>
        <v/>
      </c>
      <c r="O291" s="81" t="str">
        <f t="shared" si="24"/>
        <v/>
      </c>
      <c r="P291" s="81" t="str">
        <f t="shared" si="25"/>
        <v/>
      </c>
      <c r="Q291" s="81" t="str">
        <f t="shared" si="26"/>
        <v/>
      </c>
    </row>
    <row r="292" spans="6:17" x14ac:dyDescent="0.25">
      <c r="F292" s="81" t="str">
        <f>IF($B292="","",IF(AND($B$2="Salary Points 3 to 57",B292&lt;Thresholds_Rates!$C$16),"-",IF(SUMIF(Grades!$A:$A,$B$2,Grades!$BO:$BO)=0,"-",IF(AND($B$2="Salary Points 3 to 57",B292&gt;=Thresholds_Rates!$C$16),$C292*Thresholds_Rates!$F$15,IF(AND(OR($B$2="New Consultant Contract"),$B292&lt;&gt;""),$C292*Thresholds_Rates!$F$15,IF(AND(OR($B$2="Clinical Lecturer / Medical Research Fellow",$B$2="Clinical Consultant - Old Contract (GP)"),$B292&lt;&gt;""),$C292*Thresholds_Rates!$F$15,IF(OR($B$2="APM Level 7",$B$2="R&amp;T Level 7"),$C292*Thresholds_Rates!$F$15,IF(SUMIF(Grades!$A:$A,$B$2,Grades!$BO:$BO)=1,$C292*Thresholds_Rates!$F$15,""))))))))</f>
        <v/>
      </c>
      <c r="M292" s="81" t="str">
        <f t="shared" si="22"/>
        <v/>
      </c>
      <c r="N292" s="81" t="str">
        <f t="shared" si="23"/>
        <v/>
      </c>
      <c r="O292" s="81" t="str">
        <f t="shared" si="24"/>
        <v/>
      </c>
      <c r="P292" s="81" t="str">
        <f t="shared" si="25"/>
        <v/>
      </c>
      <c r="Q292" s="81" t="str">
        <f t="shared" si="26"/>
        <v/>
      </c>
    </row>
    <row r="293" spans="6:17" x14ac:dyDescent="0.25">
      <c r="F293" s="81" t="str">
        <f>IF($B293="","",IF(AND($B$2="Salary Points 3 to 57",B293&lt;Thresholds_Rates!$C$16),"-",IF(SUMIF(Grades!$A:$A,$B$2,Grades!$BO:$BO)=0,"-",IF(AND($B$2="Salary Points 3 to 57",B293&gt;=Thresholds_Rates!$C$16),$C293*Thresholds_Rates!$F$15,IF(AND(OR($B$2="New Consultant Contract"),$B293&lt;&gt;""),$C293*Thresholds_Rates!$F$15,IF(AND(OR($B$2="Clinical Lecturer / Medical Research Fellow",$B$2="Clinical Consultant - Old Contract (GP)"),$B293&lt;&gt;""),$C293*Thresholds_Rates!$F$15,IF(OR($B$2="APM Level 7",$B$2="R&amp;T Level 7"),$C293*Thresholds_Rates!$F$15,IF(SUMIF(Grades!$A:$A,$B$2,Grades!$BO:$BO)=1,$C293*Thresholds_Rates!$F$15,""))))))))</f>
        <v/>
      </c>
      <c r="M293" s="81" t="str">
        <f t="shared" si="22"/>
        <v/>
      </c>
      <c r="N293" s="81" t="str">
        <f t="shared" si="23"/>
        <v/>
      </c>
      <c r="O293" s="81" t="str">
        <f t="shared" si="24"/>
        <v/>
      </c>
      <c r="P293" s="81" t="str">
        <f t="shared" si="25"/>
        <v/>
      </c>
      <c r="Q293" s="81" t="str">
        <f t="shared" si="26"/>
        <v/>
      </c>
    </row>
    <row r="294" spans="6:17" x14ac:dyDescent="0.25">
      <c r="M294" s="81" t="str">
        <f t="shared" si="22"/>
        <v/>
      </c>
      <c r="N294" s="81" t="str">
        <f t="shared" si="23"/>
        <v/>
      </c>
      <c r="O294" s="81" t="str">
        <f t="shared" si="24"/>
        <v/>
      </c>
      <c r="P294" s="81" t="str">
        <f t="shared" si="25"/>
        <v/>
      </c>
      <c r="Q294" s="81" t="str">
        <f t="shared" si="26"/>
        <v/>
      </c>
    </row>
    <row r="295" spans="6:17" x14ac:dyDescent="0.25">
      <c r="M295" s="81" t="str">
        <f t="shared" si="22"/>
        <v/>
      </c>
      <c r="N295" s="81" t="str">
        <f t="shared" si="23"/>
        <v/>
      </c>
      <c r="O295" s="81" t="str">
        <f t="shared" si="24"/>
        <v/>
      </c>
      <c r="P295" s="81" t="str">
        <f t="shared" si="25"/>
        <v/>
      </c>
      <c r="Q295" s="81" t="str">
        <f t="shared" si="26"/>
        <v/>
      </c>
    </row>
    <row r="296" spans="6:17" x14ac:dyDescent="0.25">
      <c r="M296" s="81" t="str">
        <f t="shared" si="22"/>
        <v/>
      </c>
      <c r="N296" s="81" t="str">
        <f t="shared" si="23"/>
        <v/>
      </c>
      <c r="O296" s="81" t="str">
        <f t="shared" si="24"/>
        <v/>
      </c>
      <c r="P296" s="81" t="str">
        <f t="shared" si="25"/>
        <v/>
      </c>
      <c r="Q296" s="81" t="str">
        <f t="shared" si="26"/>
        <v/>
      </c>
    </row>
    <row r="297" spans="6:17" x14ac:dyDescent="0.25">
      <c r="M297" s="81" t="str">
        <f t="shared" si="22"/>
        <v/>
      </c>
      <c r="N297" s="81" t="str">
        <f t="shared" si="23"/>
        <v/>
      </c>
      <c r="O297" s="81" t="str">
        <f t="shared" si="24"/>
        <v/>
      </c>
      <c r="P297" s="81" t="str">
        <f t="shared" si="25"/>
        <v/>
      </c>
      <c r="Q297" s="81" t="str">
        <f t="shared" si="26"/>
        <v/>
      </c>
    </row>
    <row r="298" spans="6:17" x14ac:dyDescent="0.25">
      <c r="M298" s="81" t="str">
        <f t="shared" si="22"/>
        <v/>
      </c>
      <c r="N298" s="81" t="str">
        <f t="shared" si="23"/>
        <v/>
      </c>
      <c r="O298" s="81" t="str">
        <f t="shared" si="24"/>
        <v/>
      </c>
      <c r="P298" s="81" t="str">
        <f t="shared" si="25"/>
        <v/>
      </c>
      <c r="Q298" s="81" t="str">
        <f t="shared" si="26"/>
        <v/>
      </c>
    </row>
    <row r="299" spans="6:17" x14ac:dyDescent="0.25">
      <c r="M299" s="81" t="str">
        <f t="shared" si="22"/>
        <v/>
      </c>
      <c r="N299" s="81" t="str">
        <f t="shared" si="23"/>
        <v/>
      </c>
      <c r="O299" s="81" t="str">
        <f t="shared" si="24"/>
        <v/>
      </c>
      <c r="P299" s="81" t="str">
        <f t="shared" si="25"/>
        <v/>
      </c>
      <c r="Q299" s="81" t="str">
        <f t="shared" si="26"/>
        <v/>
      </c>
    </row>
    <row r="300" spans="6:17" x14ac:dyDescent="0.25">
      <c r="M300" s="81" t="str">
        <f t="shared" ref="M300:M301" si="27">IF(B300="","",IF(F300="-","-",$C300+$I300+F300))</f>
        <v/>
      </c>
      <c r="N300" s="81" t="str">
        <f t="shared" ref="N300:N301" si="28">IF(B300="","",IF(G300="-","-",$C300+$I300+G300))</f>
        <v/>
      </c>
      <c r="O300" s="81" t="str">
        <f t="shared" ref="O300:O301" si="29">IF(B300="","",IF(H300="-","-",$C300+$I300+H300))</f>
        <v/>
      </c>
      <c r="P300" s="81" t="str">
        <f t="shared" ref="P300:P301" si="30">IF(B300="","",IF(K300="-","-",$C300+$I300+K300))</f>
        <v/>
      </c>
      <c r="Q300" s="81" t="str">
        <f t="shared" ref="Q300:Q301" si="31">IF(B300="","",C300+I300)</f>
        <v/>
      </c>
    </row>
    <row r="301" spans="6:17" x14ac:dyDescent="0.25">
      <c r="M301" s="81" t="str">
        <f t="shared" si="27"/>
        <v/>
      </c>
      <c r="N301" s="81" t="str">
        <f t="shared" si="28"/>
        <v/>
      </c>
      <c r="O301" s="81" t="str">
        <f t="shared" si="29"/>
        <v/>
      </c>
      <c r="P301" s="81" t="str">
        <f t="shared" si="30"/>
        <v/>
      </c>
      <c r="Q301" s="81" t="str">
        <f t="shared" si="31"/>
        <v/>
      </c>
    </row>
  </sheetData>
  <mergeCells count="7">
    <mergeCell ref="U5:V5"/>
    <mergeCell ref="B2:C2"/>
    <mergeCell ref="F2:K2"/>
    <mergeCell ref="B5:D5"/>
    <mergeCell ref="F5:K5"/>
    <mergeCell ref="M5:Q5"/>
    <mergeCell ref="S5:T5"/>
  </mergeCells>
  <conditionalFormatting sqref="S5:V6">
    <cfRule type="expression" dxfId="4" priority="3">
      <formula>$S$6&lt;&gt;""</formula>
    </cfRule>
  </conditionalFormatting>
  <conditionalFormatting sqref="B7:Q9">
    <cfRule type="containsBlanks" priority="2" stopIfTrue="1">
      <formula>LEN(TRIM(B7))=0</formula>
    </cfRule>
  </conditionalFormatting>
  <conditionalFormatting sqref="B5:D5">
    <cfRule type="expression" dxfId="3" priority="1">
      <formula>$B$5&lt;&gt;""</formula>
    </cfRule>
  </conditionalFormatting>
  <dataValidations count="1">
    <dataValidation type="list" allowBlank="1" showInputMessage="1" showErrorMessage="1" sqref="B2:C2" xr:uid="{339B09CF-DB0D-446F-8A39-19824EA41F02}">
      <formula1>LIST</formula1>
    </dataValidation>
  </dataValidations>
  <printOptions horizontalCentered="1"/>
  <pageMargins left="0.23622047244094491" right="0.23622047244094491" top="0.74803149606299213" bottom="0.39370078740157483" header="0.27559055118110237" footer="0.31496062992125984"/>
  <pageSetup paperSize="9" scale="61" orientation="landscape" r:id="rId1"/>
  <headerFooter>
    <oddHeader>&amp;C&amp;"-,Bold"&amp;20Pay Award Date: 01/08/2019 (01/04/2021 for Clinical Grades)
National Insurance: 2021/22 Tax Year</oddHeader>
    <oddFooter>&amp;CVersion 1, last changed 07/04/2021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4" id="{21C09386-74D6-4E52-BBD0-8448013984FD}">
            <xm:f>$B7=Thresholds_Rates!$C$15</xm:f>
            <x14:dxf>
              <font>
                <b/>
                <i val="0"/>
              </font>
              <fill>
                <patternFill>
                  <bgColor rgb="FFFFC000"/>
                </patternFill>
              </fill>
              <border>
                <left/>
                <right/>
                <top/>
                <bottom/>
                <vertical/>
                <horizontal/>
              </border>
            </x14:dxf>
          </x14:cfRule>
          <xm:sqref>M172:Q301 F172:F293 B7:Q171</xm:sqref>
        </x14:conditionalFormatting>
        <x14:conditionalFormatting xmlns:xm="http://schemas.microsoft.com/office/excel/2006/main">
          <x14:cfRule type="expression" priority="5" id="{E61B91D7-12AC-41DF-A03D-60CDFF798B56}">
            <xm:f>AND(Thresholds_Rates!$C$15=0,$B$2&lt;&gt;"O&amp;F Level 1",$B$2&lt;&gt;"O&amp;F Level 2")</xm:f>
            <x14:dxf>
              <numFmt numFmtId="0" formatCode="General"/>
              <fill>
                <patternFill patternType="none">
                  <bgColor auto="1"/>
                </patternFill>
              </fill>
              <border>
                <left/>
                <right/>
                <top/>
                <bottom/>
                <vertical/>
                <horizontal/>
              </border>
            </x14:dxf>
          </x14:cfRule>
          <xm:sqref>F2</xm:sqref>
        </x14:conditionalFormatting>
        <x14:conditionalFormatting xmlns:xm="http://schemas.microsoft.com/office/excel/2006/main">
          <x14:cfRule type="expression" priority="6" id="{75CCFA9C-D381-43B4-BEE4-D511827C3B20}">
            <xm:f>AND($B7=Thresholds_Rates!$C$15,$S$6&lt;&gt;"")</xm:f>
            <x14:dxf>
              <font>
                <b/>
                <i val="0"/>
              </font>
              <fill>
                <patternFill>
                  <bgColor rgb="FFFFC000"/>
                </patternFill>
              </fill>
            </x14:dxf>
          </x14:cfRule>
          <xm:sqref>R7:V171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>
    <pageSetUpPr fitToPage="1"/>
  </sheetPr>
  <dimension ref="B1:F40"/>
  <sheetViews>
    <sheetView showGridLines="0" zoomScaleNormal="100" workbookViewId="0">
      <selection activeCell="C40" sqref="C40"/>
    </sheetView>
  </sheetViews>
  <sheetFormatPr defaultColWidth="9.140625" defaultRowHeight="13.5" x14ac:dyDescent="0.2"/>
  <cols>
    <col min="1" max="1" width="7.28515625" style="37" customWidth="1"/>
    <col min="2" max="2" width="13.140625" style="37" customWidth="1"/>
    <col min="3" max="3" width="15.42578125" style="37" customWidth="1"/>
    <col min="4" max="4" width="27.5703125" style="37" customWidth="1"/>
    <col min="5" max="5" width="20.85546875" style="37" customWidth="1"/>
    <col min="6" max="6" width="9.140625" style="37" customWidth="1"/>
    <col min="7" max="16384" width="9.140625" style="37"/>
  </cols>
  <sheetData>
    <row r="1" spans="2:6" ht="39.75" customHeight="1" x14ac:dyDescent="0.2">
      <c r="B1" s="267" t="s">
        <v>51</v>
      </c>
      <c r="C1" s="268"/>
      <c r="D1" s="268"/>
      <c r="E1" s="268"/>
      <c r="F1" s="269"/>
    </row>
    <row r="2" spans="2:6" ht="14.25" x14ac:dyDescent="0.2">
      <c r="B2" s="38"/>
      <c r="C2" s="39"/>
      <c r="D2" s="38"/>
      <c r="F2" s="38"/>
    </row>
    <row r="3" spans="2:6" ht="30" x14ac:dyDescent="0.2">
      <c r="B3" s="172" t="s">
        <v>52</v>
      </c>
      <c r="C3" s="172"/>
      <c r="D3" s="172"/>
      <c r="E3" s="172"/>
      <c r="F3" s="172"/>
    </row>
    <row r="4" spans="2:6" ht="14.25" x14ac:dyDescent="0.2">
      <c r="B4" s="38"/>
      <c r="C4" s="39"/>
      <c r="D4" s="38"/>
      <c r="F4" s="38"/>
    </row>
    <row r="5" spans="2:6" ht="18" x14ac:dyDescent="0.25">
      <c r="B5" s="265" t="s">
        <v>53</v>
      </c>
      <c r="C5" s="265"/>
      <c r="D5" s="265"/>
      <c r="E5" s="265"/>
    </row>
    <row r="6" spans="2:6" ht="14.25" x14ac:dyDescent="0.2">
      <c r="B6" s="45"/>
      <c r="C6" s="45"/>
      <c r="D6" s="45"/>
      <c r="E6" s="45"/>
    </row>
    <row r="7" spans="2:6" ht="14.25" x14ac:dyDescent="0.2">
      <c r="B7" s="266" t="s">
        <v>54</v>
      </c>
      <c r="C7" s="266"/>
      <c r="D7" s="266"/>
      <c r="E7" s="266"/>
    </row>
    <row r="8" spans="2:6" ht="6.95" customHeight="1" x14ac:dyDescent="0.2">
      <c r="B8" s="45"/>
      <c r="C8" s="45"/>
      <c r="D8" s="45"/>
      <c r="E8" s="45"/>
    </row>
    <row r="9" spans="2:6" ht="14.25" x14ac:dyDescent="0.2">
      <c r="B9" s="266" t="s">
        <v>55</v>
      </c>
      <c r="C9" s="266"/>
      <c r="D9" s="266"/>
      <c r="E9" s="266"/>
    </row>
    <row r="10" spans="2:6" ht="7.5" customHeight="1" x14ac:dyDescent="0.2">
      <c r="B10" s="45"/>
      <c r="C10" s="45"/>
      <c r="D10" s="45"/>
      <c r="E10" s="45"/>
    </row>
    <row r="11" spans="2:6" ht="32.25" customHeight="1" x14ac:dyDescent="0.2">
      <c r="B11" s="266" t="s">
        <v>56</v>
      </c>
      <c r="C11" s="266"/>
      <c r="D11" s="266"/>
      <c r="E11" s="266"/>
    </row>
    <row r="12" spans="2:6" x14ac:dyDescent="0.2">
      <c r="B12" s="44"/>
      <c r="C12" s="44"/>
      <c r="D12" s="44"/>
      <c r="E12" s="44"/>
    </row>
    <row r="14" spans="2:6" ht="35.1" customHeight="1" x14ac:dyDescent="0.2">
      <c r="B14" s="92" t="s">
        <v>57</v>
      </c>
      <c r="C14" s="93" t="s">
        <v>9</v>
      </c>
    </row>
    <row r="15" spans="2:6" s="62" customFormat="1" ht="24" customHeight="1" x14ac:dyDescent="0.25">
      <c r="B15" s="40">
        <v>1</v>
      </c>
      <c r="C15" s="197">
        <f>VLOOKUP(B15,'Points Lookup'!G:H,2,0)</f>
        <v>63668</v>
      </c>
    </row>
    <row r="16" spans="2:6" s="62" customFormat="1" ht="24" customHeight="1" x14ac:dyDescent="0.25">
      <c r="B16" s="40">
        <v>2</v>
      </c>
      <c r="C16" s="197">
        <f>VLOOKUP(B16,'Points Lookup'!G:H,2,0)</f>
        <v>64938</v>
      </c>
    </row>
    <row r="17" spans="2:4" s="62" customFormat="1" ht="24" customHeight="1" x14ac:dyDescent="0.25">
      <c r="B17" s="40">
        <v>3</v>
      </c>
      <c r="C17" s="197">
        <f>VLOOKUP(B17,'Points Lookup'!G:H,2,0)</f>
        <v>66234</v>
      </c>
    </row>
    <row r="18" spans="2:4" s="62" customFormat="1" ht="24" customHeight="1" x14ac:dyDescent="0.25">
      <c r="B18" s="40">
        <v>4</v>
      </c>
      <c r="C18" s="197">
        <f>VLOOKUP(B18,'Points Lookup'!G:H,2,0)</f>
        <v>67555</v>
      </c>
    </row>
    <row r="19" spans="2:4" s="62" customFormat="1" ht="24" customHeight="1" x14ac:dyDescent="0.25">
      <c r="B19" s="40">
        <v>5</v>
      </c>
      <c r="C19" s="197">
        <f>VLOOKUP(B19,'Points Lookup'!G:H,2,0)</f>
        <v>68904</v>
      </c>
    </row>
    <row r="20" spans="2:4" s="62" customFormat="1" ht="24" customHeight="1" x14ac:dyDescent="0.25">
      <c r="B20" s="40">
        <v>6</v>
      </c>
      <c r="C20" s="197">
        <f>VLOOKUP(B20,'Points Lookup'!G:H,2,0)</f>
        <v>70279</v>
      </c>
    </row>
    <row r="21" spans="2:4" s="62" customFormat="1" ht="24" customHeight="1" x14ac:dyDescent="0.25">
      <c r="B21" s="40">
        <v>7</v>
      </c>
      <c r="C21" s="197">
        <f>VLOOKUP(B21,'Points Lookup'!G:H,2,0)</f>
        <v>71680</v>
      </c>
    </row>
    <row r="22" spans="2:4" s="62" customFormat="1" ht="24" customHeight="1" x14ac:dyDescent="0.25">
      <c r="B22" s="40">
        <v>8</v>
      </c>
      <c r="C22" s="197">
        <f>VLOOKUP(B22,'Points Lookup'!G:H,2,0)</f>
        <v>73110</v>
      </c>
    </row>
    <row r="23" spans="2:4" s="62" customFormat="1" ht="24" customHeight="1" x14ac:dyDescent="0.25">
      <c r="B23" s="40">
        <v>9</v>
      </c>
      <c r="C23" s="197">
        <f>VLOOKUP(B23,'Points Lookup'!G:H,2,0)</f>
        <v>74569</v>
      </c>
    </row>
    <row r="24" spans="2:4" s="62" customFormat="1" ht="24" customHeight="1" x14ac:dyDescent="0.25">
      <c r="B24" s="40">
        <v>10</v>
      </c>
      <c r="C24" s="197">
        <f>VLOOKUP(B24,'Points Lookup'!G:H,2,0)</f>
        <v>76056</v>
      </c>
    </row>
    <row r="25" spans="2:4" s="62" customFormat="1" ht="24" customHeight="1" x14ac:dyDescent="0.25">
      <c r="B25" s="40">
        <v>11</v>
      </c>
      <c r="C25" s="197">
        <f>VLOOKUP(B25,'Points Lookup'!G:H,2,0)</f>
        <v>77572</v>
      </c>
    </row>
    <row r="26" spans="2:4" s="62" customFormat="1" ht="24" customHeight="1" x14ac:dyDescent="0.25">
      <c r="B26" s="40">
        <v>12</v>
      </c>
      <c r="C26" s="197">
        <f>VLOOKUP(B26,'Points Lookup'!G:H,2,0)</f>
        <v>79122</v>
      </c>
    </row>
    <row r="27" spans="2:4" s="62" customFormat="1" ht="24" customHeight="1" x14ac:dyDescent="0.25">
      <c r="B27" s="40">
        <v>13</v>
      </c>
      <c r="C27" s="197">
        <f>VLOOKUP(B27,'Points Lookup'!G:H,2,0)</f>
        <v>80700</v>
      </c>
    </row>
    <row r="28" spans="2:4" s="62" customFormat="1" ht="24" customHeight="1" x14ac:dyDescent="0.25">
      <c r="B28" s="40">
        <v>14</v>
      </c>
      <c r="C28" s="197">
        <f>VLOOKUP(B28,'Points Lookup'!G:H,2,0)</f>
        <v>82312</v>
      </c>
    </row>
    <row r="29" spans="2:4" s="62" customFormat="1" ht="24" customHeight="1" x14ac:dyDescent="0.25">
      <c r="B29" s="40">
        <v>15</v>
      </c>
      <c r="C29" s="197">
        <f>VLOOKUP(B29,'Points Lookup'!G:H,2,0)</f>
        <v>83955</v>
      </c>
    </row>
    <row r="30" spans="2:4" s="62" customFormat="1" ht="24" customHeight="1" x14ac:dyDescent="0.25">
      <c r="B30" s="41">
        <v>16</v>
      </c>
      <c r="C30" s="198">
        <f>VLOOKUP(B30,'Points Lookup'!G:H,2,0)</f>
        <v>85630</v>
      </c>
    </row>
    <row r="31" spans="2:4" s="62" customFormat="1" ht="24" customHeight="1" x14ac:dyDescent="0.25">
      <c r="B31" s="91">
        <v>17</v>
      </c>
      <c r="C31" s="199">
        <f>VLOOKUP(B31,'Points Lookup'!G:H,2,0)</f>
        <v>87340</v>
      </c>
      <c r="D31" s="173" t="s">
        <v>58</v>
      </c>
    </row>
    <row r="32" spans="2:4" s="62" customFormat="1" ht="24" customHeight="1" x14ac:dyDescent="0.25">
      <c r="B32" s="42">
        <v>18</v>
      </c>
      <c r="C32" s="200">
        <f>VLOOKUP(B32,'Points Lookup'!G:H,2,0)</f>
        <v>89082</v>
      </c>
    </row>
    <row r="33" spans="2:3" s="62" customFormat="1" ht="24" customHeight="1" x14ac:dyDescent="0.25">
      <c r="B33" s="40">
        <v>19</v>
      </c>
      <c r="C33" s="197">
        <f>VLOOKUP(B33,'Points Lookup'!G:H,2,0)</f>
        <v>90862</v>
      </c>
    </row>
    <row r="34" spans="2:3" s="62" customFormat="1" ht="24" customHeight="1" x14ac:dyDescent="0.25">
      <c r="B34" s="40">
        <v>20</v>
      </c>
      <c r="C34" s="197">
        <f>VLOOKUP(B34,'Points Lookup'!G:H,2,0)</f>
        <v>92675</v>
      </c>
    </row>
    <row r="35" spans="2:3" s="62" customFormat="1" ht="24" customHeight="1" x14ac:dyDescent="0.25">
      <c r="B35" s="40">
        <v>21</v>
      </c>
      <c r="C35" s="197">
        <f>VLOOKUP(B35,'Points Lookup'!G:H,2,0)</f>
        <v>94524</v>
      </c>
    </row>
    <row r="36" spans="2:3" s="62" customFormat="1" ht="24" customHeight="1" x14ac:dyDescent="0.25">
      <c r="B36" s="40">
        <v>22</v>
      </c>
      <c r="C36" s="197">
        <f>VLOOKUP(B36,'Points Lookup'!G:H,2,0)</f>
        <v>96412</v>
      </c>
    </row>
    <row r="37" spans="2:3" s="62" customFormat="1" ht="24" customHeight="1" x14ac:dyDescent="0.25">
      <c r="B37" s="40">
        <v>23</v>
      </c>
      <c r="C37" s="197">
        <f>VLOOKUP(B37,'Points Lookup'!G:H,2,0)</f>
        <v>98336</v>
      </c>
    </row>
    <row r="38" spans="2:3" s="62" customFormat="1" ht="24" customHeight="1" x14ac:dyDescent="0.25">
      <c r="B38" s="40">
        <v>24</v>
      </c>
      <c r="C38" s="197">
        <f>VLOOKUP(B38,'Points Lookup'!G:H,2,0)</f>
        <v>100299</v>
      </c>
    </row>
    <row r="39" spans="2:3" s="62" customFormat="1" ht="24" customHeight="1" x14ac:dyDescent="0.25">
      <c r="B39" s="40">
        <v>25</v>
      </c>
      <c r="C39" s="197">
        <f>VLOOKUP(B39,'Points Lookup'!G:H,2,0)</f>
        <v>102301</v>
      </c>
    </row>
    <row r="40" spans="2:3" s="62" customFormat="1" ht="24" customHeight="1" x14ac:dyDescent="0.25">
      <c r="B40" s="40">
        <v>26</v>
      </c>
      <c r="C40" s="197">
        <f>VLOOKUP(B40,'Points Lookup'!G:H,2,0)</f>
        <v>104342</v>
      </c>
    </row>
  </sheetData>
  <sheetProtection algorithmName="SHA-512" hashValue="Y7ZAsbBNG98QtLEEXiV8FoXn8ZuzwpiOSGMLeYRRkr8NhutunbxGx4+BcnFBkKBrE0tIFWxcJQ4ib4xr2urA9g==" saltValue="Z4pHmZZNQ/J+6bHa4hxUQQ==" spinCount="100000" sheet="1" objects="1" scenarios="1"/>
  <mergeCells count="5">
    <mergeCell ref="B5:E5"/>
    <mergeCell ref="B7:E7"/>
    <mergeCell ref="B9:E9"/>
    <mergeCell ref="B11:E11"/>
    <mergeCell ref="B1:F1"/>
  </mergeCells>
  <pageMargins left="0.7" right="0.7" top="0.75" bottom="0.75" header="0.3" footer="0.3"/>
  <pageSetup paperSize="9" scale="90" orientation="portrait" r:id="rId1"/>
  <headerFooter>
    <oddHeader>&amp;C&amp;"Arial,Regular"Effective Date of Pay Award: 01/08/2021</oddHeader>
    <oddFooter>&amp;C&amp;"Arial,Regular"&amp;10Version 1, last updated 13/10/2021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E6F76F-D60A-4BE4-9A22-20751358CC2E}">
  <dimension ref="B1:I31"/>
  <sheetViews>
    <sheetView showGridLines="0" zoomScaleNormal="100" workbookViewId="0">
      <selection activeCell="D12" sqref="D12"/>
    </sheetView>
  </sheetViews>
  <sheetFormatPr defaultColWidth="9.140625" defaultRowHeight="13.5" x14ac:dyDescent="0.2"/>
  <cols>
    <col min="1" max="1" width="9.140625" style="37"/>
    <col min="2" max="2" width="8.140625" style="37" bestFit="1" customWidth="1"/>
    <col min="3" max="3" width="9.140625" style="37"/>
    <col min="4" max="5" width="10.42578125" style="43" customWidth="1"/>
    <col min="6" max="6" width="15.42578125" style="37" customWidth="1"/>
    <col min="7" max="7" width="9.5703125" style="37" customWidth="1"/>
    <col min="8" max="16384" width="9.140625" style="37"/>
  </cols>
  <sheetData>
    <row r="1" spans="2:9" x14ac:dyDescent="0.2">
      <c r="B1" s="274" t="s">
        <v>51</v>
      </c>
      <c r="C1" s="274"/>
      <c r="D1" s="274"/>
      <c r="E1" s="274"/>
      <c r="F1" s="274"/>
      <c r="G1" s="274"/>
      <c r="H1" s="274"/>
      <c r="I1" s="274"/>
    </row>
    <row r="2" spans="2:9" x14ac:dyDescent="0.2">
      <c r="B2" s="274"/>
      <c r="C2" s="274"/>
      <c r="D2" s="274"/>
      <c r="E2" s="274"/>
      <c r="F2" s="274"/>
      <c r="G2" s="274"/>
      <c r="H2" s="274"/>
      <c r="I2" s="274"/>
    </row>
    <row r="3" spans="2:9" ht="14.25" x14ac:dyDescent="0.2">
      <c r="B3" s="38"/>
      <c r="C3" s="38"/>
      <c r="D3" s="39"/>
      <c r="E3" s="39"/>
      <c r="F3" s="39"/>
      <c r="G3" s="38"/>
      <c r="I3" s="38"/>
    </row>
    <row r="4" spans="2:9" ht="30" x14ac:dyDescent="0.2">
      <c r="B4" s="275" t="s">
        <v>52</v>
      </c>
      <c r="C4" s="275"/>
      <c r="D4" s="275"/>
      <c r="E4" s="275"/>
      <c r="F4" s="275"/>
      <c r="G4" s="275"/>
      <c r="H4" s="275"/>
      <c r="I4" s="275"/>
    </row>
    <row r="5" spans="2:9" ht="14.25" x14ac:dyDescent="0.2">
      <c r="B5" s="38"/>
      <c r="C5" s="38"/>
      <c r="D5" s="39"/>
      <c r="E5" s="39"/>
      <c r="F5" s="39"/>
      <c r="G5" s="38"/>
      <c r="I5" s="38"/>
    </row>
    <row r="6" spans="2:9" ht="18" customHeight="1" x14ac:dyDescent="0.25">
      <c r="B6" s="265" t="s">
        <v>53</v>
      </c>
      <c r="C6" s="265"/>
      <c r="D6" s="265"/>
      <c r="E6" s="265"/>
      <c r="F6" s="265"/>
      <c r="G6" s="265"/>
      <c r="H6" s="265"/>
      <c r="I6" s="265"/>
    </row>
    <row r="7" spans="2:9" ht="14.25" x14ac:dyDescent="0.2">
      <c r="C7" s="45"/>
      <c r="D7" s="45"/>
      <c r="E7" s="45"/>
      <c r="F7" s="45"/>
      <c r="G7" s="45"/>
      <c r="H7" s="45"/>
    </row>
    <row r="8" spans="2:9" ht="50.25" customHeight="1" x14ac:dyDescent="0.2">
      <c r="B8" s="276" t="s">
        <v>59</v>
      </c>
      <c r="C8" s="276"/>
      <c r="D8" s="276"/>
      <c r="E8" s="276"/>
      <c r="F8" s="276"/>
      <c r="G8" s="276"/>
      <c r="H8" s="276"/>
      <c r="I8" s="276"/>
    </row>
    <row r="9" spans="2:9" x14ac:dyDescent="0.2">
      <c r="C9" s="44"/>
      <c r="D9" s="44"/>
      <c r="E9" s="44"/>
      <c r="F9" s="44"/>
      <c r="G9" s="44"/>
      <c r="H9" s="44"/>
    </row>
    <row r="10" spans="2:9" x14ac:dyDescent="0.2">
      <c r="D10" s="37"/>
      <c r="E10" s="37"/>
    </row>
    <row r="11" spans="2:9" ht="35.1" customHeight="1" x14ac:dyDescent="0.2">
      <c r="B11" s="92" t="s">
        <v>60</v>
      </c>
      <c r="C11" s="92" t="s">
        <v>57</v>
      </c>
      <c r="D11" s="93" t="s">
        <v>9</v>
      </c>
      <c r="E11" s="37"/>
    </row>
    <row r="12" spans="2:9" x14ac:dyDescent="0.2">
      <c r="B12" s="270" t="s">
        <v>61</v>
      </c>
      <c r="C12" s="40">
        <v>1</v>
      </c>
      <c r="D12" s="201">
        <f>VLOOKUP(C12,'Points Lookup'!J:K,2,0)</f>
        <v>65578</v>
      </c>
      <c r="E12" s="37"/>
    </row>
    <row r="13" spans="2:9" x14ac:dyDescent="0.2">
      <c r="B13" s="270"/>
      <c r="C13" s="40">
        <v>2</v>
      </c>
      <c r="D13" s="201">
        <f>VLOOKUP(C13,'Points Lookup'!J:K,2,0)</f>
        <v>67545</v>
      </c>
      <c r="E13" s="37"/>
    </row>
    <row r="14" spans="2:9" x14ac:dyDescent="0.2">
      <c r="B14" s="270"/>
      <c r="C14" s="40">
        <v>3</v>
      </c>
      <c r="D14" s="201">
        <f>VLOOKUP(C14,'Points Lookup'!J:K,2,0)</f>
        <v>69572</v>
      </c>
      <c r="E14" s="37"/>
    </row>
    <row r="15" spans="2:9" x14ac:dyDescent="0.2">
      <c r="B15" s="270"/>
      <c r="C15" s="40">
        <v>4</v>
      </c>
      <c r="D15" s="201">
        <f>VLOOKUP(C15,'Points Lookup'!J:K,2,0)</f>
        <v>71659</v>
      </c>
      <c r="E15" s="37"/>
    </row>
    <row r="16" spans="2:9" x14ac:dyDescent="0.2">
      <c r="B16" s="270"/>
      <c r="C16" s="40">
        <v>5</v>
      </c>
      <c r="D16" s="201">
        <f>VLOOKUP(C16,'Points Lookup'!J:K,2,0)</f>
        <v>73809</v>
      </c>
      <c r="E16" s="37"/>
    </row>
    <row r="17" spans="2:7" x14ac:dyDescent="0.2">
      <c r="B17" s="270"/>
      <c r="C17" s="91">
        <v>6</v>
      </c>
      <c r="D17" s="202">
        <f>VLOOKUP(C17,'Points Lookup'!J:K,2,0)</f>
        <v>76023</v>
      </c>
      <c r="E17" s="271" t="s">
        <v>62</v>
      </c>
      <c r="F17" s="272"/>
      <c r="G17" s="273"/>
    </row>
    <row r="18" spans="2:7" x14ac:dyDescent="0.2">
      <c r="B18" s="270" t="s">
        <v>63</v>
      </c>
      <c r="C18" s="40">
        <v>7</v>
      </c>
      <c r="D18" s="201">
        <f>VLOOKUP(C18,'Points Lookup'!J:K,2,0)</f>
        <v>78304</v>
      </c>
      <c r="E18" s="37"/>
    </row>
    <row r="19" spans="2:7" x14ac:dyDescent="0.2">
      <c r="B19" s="270"/>
      <c r="C19" s="40">
        <v>8</v>
      </c>
      <c r="D19" s="201">
        <f>VLOOKUP(C19,'Points Lookup'!J:K,2,0)</f>
        <v>80653</v>
      </c>
      <c r="E19" s="37"/>
    </row>
    <row r="20" spans="2:7" x14ac:dyDescent="0.2">
      <c r="B20" s="270"/>
      <c r="C20" s="40">
        <v>9</v>
      </c>
      <c r="D20" s="201">
        <f>VLOOKUP(C20,'Points Lookup'!J:K,2,0)</f>
        <v>83072</v>
      </c>
      <c r="E20" s="37"/>
    </row>
    <row r="21" spans="2:7" x14ac:dyDescent="0.2">
      <c r="B21" s="270"/>
      <c r="C21" s="40">
        <v>10</v>
      </c>
      <c r="D21" s="201">
        <f>VLOOKUP(C21,'Points Lookup'!J:K,2,0)</f>
        <v>85564</v>
      </c>
      <c r="E21" s="37"/>
    </row>
    <row r="22" spans="2:7" x14ac:dyDescent="0.2">
      <c r="B22" s="270"/>
      <c r="C22" s="40">
        <v>11</v>
      </c>
      <c r="D22" s="201">
        <f>VLOOKUP(C22,'Points Lookup'!J:K,2,0)</f>
        <v>88131</v>
      </c>
      <c r="E22" s="37"/>
    </row>
    <row r="23" spans="2:7" x14ac:dyDescent="0.2">
      <c r="B23" s="270"/>
      <c r="C23" s="91">
        <v>12</v>
      </c>
      <c r="D23" s="202">
        <f>VLOOKUP(C23,'Points Lookup'!J:K,2,0)</f>
        <v>90775</v>
      </c>
      <c r="E23" s="271" t="s">
        <v>64</v>
      </c>
      <c r="F23" s="272"/>
      <c r="G23" s="273"/>
    </row>
    <row r="24" spans="2:7" x14ac:dyDescent="0.2">
      <c r="B24" s="270" t="s">
        <v>65</v>
      </c>
      <c r="C24" s="40">
        <v>13</v>
      </c>
      <c r="D24" s="201">
        <f>VLOOKUP(C24,'Points Lookup'!J:K,2,0)</f>
        <v>93499</v>
      </c>
      <c r="E24" s="37"/>
    </row>
    <row r="25" spans="2:7" x14ac:dyDescent="0.2">
      <c r="B25" s="270"/>
      <c r="C25" s="40">
        <v>14</v>
      </c>
      <c r="D25" s="201">
        <f>VLOOKUP(C25,'Points Lookup'!J:K,2,0)</f>
        <v>96304</v>
      </c>
      <c r="E25" s="37"/>
    </row>
    <row r="26" spans="2:7" x14ac:dyDescent="0.2">
      <c r="B26" s="270"/>
      <c r="C26" s="40">
        <v>15</v>
      </c>
      <c r="D26" s="201">
        <f>VLOOKUP(C26,'Points Lookup'!J:K,2,0)</f>
        <v>99193</v>
      </c>
      <c r="E26" s="37"/>
    </row>
    <row r="27" spans="2:7" x14ac:dyDescent="0.2">
      <c r="B27" s="270"/>
      <c r="C27" s="41">
        <v>16</v>
      </c>
      <c r="D27" s="203">
        <f>VLOOKUP(C27,'Points Lookup'!J:K,2,0)</f>
        <v>102168</v>
      </c>
      <c r="E27" s="37"/>
    </row>
    <row r="28" spans="2:7" x14ac:dyDescent="0.2">
      <c r="B28" s="270"/>
      <c r="C28" s="40">
        <v>17</v>
      </c>
      <c r="D28" s="201">
        <f>VLOOKUP(C28,'Points Lookup'!J:K,2,0)</f>
        <v>105234</v>
      </c>
      <c r="E28" s="37"/>
    </row>
    <row r="29" spans="2:7" x14ac:dyDescent="0.2">
      <c r="B29" s="270"/>
      <c r="C29" s="42">
        <v>18</v>
      </c>
      <c r="D29" s="204">
        <f>VLOOKUP(C29,'Points Lookup'!J:K,2,0)</f>
        <v>108391</v>
      </c>
      <c r="E29" s="37"/>
    </row>
    <row r="30" spans="2:7" x14ac:dyDescent="0.2">
      <c r="B30" s="270"/>
      <c r="C30" s="91">
        <v>19</v>
      </c>
      <c r="D30" s="202">
        <f>VLOOKUP(C30,'Points Lookup'!J:K,2,0)</f>
        <v>111642</v>
      </c>
      <c r="E30" s="271" t="s">
        <v>66</v>
      </c>
      <c r="F30" s="272"/>
      <c r="G30" s="273"/>
    </row>
    <row r="31" spans="2:7" x14ac:dyDescent="0.2">
      <c r="B31" s="175" t="s">
        <v>67</v>
      </c>
      <c r="C31" s="40">
        <v>20</v>
      </c>
      <c r="D31" s="201">
        <f>VLOOKUP(C31,'Points Lookup'!J:K,2,0)</f>
        <v>114991</v>
      </c>
      <c r="E31" s="37"/>
    </row>
  </sheetData>
  <sheetProtection algorithmName="SHA-512" hashValue="NxjLsDVmj3N5ekckzF2jS8AGyKAyYNHH3ItCrjvOJerVUrPzfCqZUERZ1Ffqe17XlMC09jm25LLSEGeORwQSXQ==" saltValue="lxce1N62iD+fPA2HLcsGCw==" spinCount="100000" sheet="1" objects="1" scenarios="1"/>
  <mergeCells count="10">
    <mergeCell ref="B1:I2"/>
    <mergeCell ref="B4:I4"/>
    <mergeCell ref="B12:B17"/>
    <mergeCell ref="B6:I6"/>
    <mergeCell ref="B8:I8"/>
    <mergeCell ref="B18:B23"/>
    <mergeCell ref="B24:B30"/>
    <mergeCell ref="E17:G17"/>
    <mergeCell ref="E30:G30"/>
    <mergeCell ref="E23:G23"/>
  </mergeCells>
  <pageMargins left="0.7" right="0.7" top="0.75" bottom="0.75" header="0.3" footer="0.3"/>
  <pageSetup paperSize="9" orientation="portrait" r:id="rId1"/>
  <headerFooter>
    <oddHeader>&amp;C&amp;"Arial,Regular"&amp;12Effective Date of Pay Award: 01/08/2021</oddHeader>
    <oddFooter>&amp;C&amp;"Arial,Regular"&amp;10Version 1, last updated 30/09/2019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B1:AO301"/>
  <sheetViews>
    <sheetView showGridLines="0" zoomScale="85" zoomScaleNormal="85" workbookViewId="0">
      <selection activeCell="B2" sqref="B2:C2"/>
    </sheetView>
  </sheetViews>
  <sheetFormatPr defaultColWidth="9.140625" defaultRowHeight="18" x14ac:dyDescent="0.25"/>
  <cols>
    <col min="1" max="1" width="2.140625" style="39" customWidth="1"/>
    <col min="2" max="2" width="16.7109375" style="39" customWidth="1"/>
    <col min="3" max="3" width="26.140625" style="39" customWidth="1"/>
    <col min="4" max="4" width="15.28515625" style="39" customWidth="1"/>
    <col min="5" max="5" width="3.7109375" style="39" customWidth="1"/>
    <col min="6" max="9" width="15.5703125" style="39" customWidth="1"/>
    <col min="10" max="10" width="21.28515625" style="39" customWidth="1"/>
    <col min="11" max="11" width="15.5703125" style="39" customWidth="1"/>
    <col min="12" max="12" width="4.85546875" style="39" customWidth="1"/>
    <col min="13" max="16" width="13.140625" style="39" customWidth="1"/>
    <col min="17" max="17" width="18" style="39" customWidth="1"/>
    <col min="18" max="18" width="9.140625" style="39" customWidth="1"/>
    <col min="19" max="20" width="15.7109375" style="68" customWidth="1"/>
    <col min="21" max="21" width="17.7109375" style="68" customWidth="1"/>
    <col min="22" max="22" width="17.28515625" style="68" customWidth="1"/>
    <col min="23" max="25" width="9.140625" style="69" customWidth="1"/>
    <col min="26" max="26" width="6.140625" style="39" customWidth="1"/>
    <col min="27" max="27" width="11.42578125" style="174" customWidth="1"/>
    <col min="28" max="32" width="6.140625" style="39" customWidth="1"/>
    <col min="33" max="40" width="9.140625" style="69" customWidth="1"/>
    <col min="41" max="41" width="9.140625" style="39" customWidth="1"/>
    <col min="42" max="16384" width="9.140625" style="39"/>
  </cols>
  <sheetData>
    <row r="1" spans="2:41" ht="11.25" customHeight="1" x14ac:dyDescent="0.25">
      <c r="B1" s="70"/>
      <c r="C1" s="58"/>
    </row>
    <row r="2" spans="2:41" ht="61.5" customHeight="1" x14ac:dyDescent="0.25">
      <c r="B2" s="282" t="s">
        <v>68</v>
      </c>
      <c r="C2" s="283"/>
      <c r="F2" s="285" t="str">
        <f>IF(AND(ISBLANK(VLOOKUP($B$2,Grades!$A:$BX,76,FALSE)),Thresholds_Rates!C15&lt;&gt;0),"Standard Maximum spine point is highlighted in table below",IF(AND(ISBLANK(VLOOKUP($B$2,Grades!$A:$BX,76,FALSE)),Thresholds_Rates!C15=0),"",VLOOKUP($B$2,Grades!$A:$BX,76,FALSE)))</f>
        <v/>
      </c>
      <c r="G2" s="285"/>
      <c r="H2" s="285"/>
      <c r="I2" s="285"/>
      <c r="J2" s="285"/>
      <c r="K2" s="285"/>
      <c r="L2" s="71"/>
      <c r="AG2" s="72" t="s">
        <v>69</v>
      </c>
    </row>
    <row r="3" spans="2:41" ht="10.5" customHeight="1" x14ac:dyDescent="0.25">
      <c r="B3" s="73"/>
      <c r="C3" s="71"/>
      <c r="D3" s="71"/>
      <c r="E3" s="71"/>
      <c r="G3" s="71"/>
      <c r="H3" s="71"/>
      <c r="I3" s="71"/>
      <c r="J3" s="71"/>
      <c r="K3" s="71"/>
      <c r="L3" s="71"/>
      <c r="AG3" s="72"/>
    </row>
    <row r="4" spans="2:41" ht="8.25" customHeight="1" x14ac:dyDescent="0.25">
      <c r="B4" s="71"/>
      <c r="C4" s="71"/>
      <c r="D4" s="71"/>
      <c r="E4" s="71"/>
      <c r="G4" s="71"/>
      <c r="H4" s="71"/>
      <c r="I4" s="71"/>
      <c r="J4" s="71"/>
      <c r="K4" s="71"/>
      <c r="L4" s="71"/>
      <c r="AG4" s="72"/>
    </row>
    <row r="5" spans="2:41" ht="166.5" customHeight="1" x14ac:dyDescent="0.25">
      <c r="B5" s="284" t="str">
        <f>IF(VLOOKUP($B$2,Grades!$A:$BS,71,0)="Y",'Level 1-6 Scale'!E10,"")</f>
        <v/>
      </c>
      <c r="C5" s="284"/>
      <c r="D5" s="284"/>
      <c r="F5" s="279" t="s">
        <v>70</v>
      </c>
      <c r="G5" s="280"/>
      <c r="H5" s="280"/>
      <c r="I5" s="280"/>
      <c r="J5" s="280"/>
      <c r="K5" s="281"/>
      <c r="M5" s="278" t="s">
        <v>71</v>
      </c>
      <c r="N5" s="278"/>
      <c r="O5" s="278"/>
      <c r="P5" s="278"/>
      <c r="Q5" s="278"/>
      <c r="S5" s="277" t="str">
        <f>IF(OR($B$2="R&amp;T Level 5 - Clinical Lecturers (Vet School)",$B$2="R&amp;T Level 6 - Clinical Associate Professors and Clinical Readers (Vet School)"),"AVA Details","")</f>
        <v/>
      </c>
      <c r="T5" s="277"/>
      <c r="U5" s="277" t="str">
        <f>IF($B$2="R&amp;T Level 5 - Clinical Lecturers (Vet School)","Clinical Supplement
Can earn up to 15%
(Maximum Shown Below)",IF($B$2="R&amp;T Level 6 - Clinical Associate Professors and Clinical Readers (Vet School)","Clinical Supplement
Can earn up to 20%
(Maximum Shown Below)",""))</f>
        <v/>
      </c>
      <c r="V5" s="277"/>
      <c r="X5" s="39"/>
      <c r="AG5" s="72" t="s">
        <v>72</v>
      </c>
    </row>
    <row r="6" spans="2:41" ht="57" customHeight="1" x14ac:dyDescent="0.25">
      <c r="B6" s="74" t="s">
        <v>57</v>
      </c>
      <c r="C6" s="74" t="str">
        <f>IF(OR($B$2=$AG$2,$B$2=$AG$5),"Salary + AVA
(for further details scroll right)","Salary")</f>
        <v>Salary</v>
      </c>
      <c r="D6" s="75" t="s">
        <v>73</v>
      </c>
      <c r="E6" s="76"/>
      <c r="F6" s="77" t="s">
        <v>74</v>
      </c>
      <c r="G6" s="77" t="s">
        <v>75</v>
      </c>
      <c r="H6" s="77" t="s">
        <v>76</v>
      </c>
      <c r="I6" s="78" t="s">
        <v>77</v>
      </c>
      <c r="J6" s="78" t="s">
        <v>78</v>
      </c>
      <c r="K6" s="77" t="s">
        <v>79</v>
      </c>
      <c r="L6" s="71"/>
      <c r="M6" s="78" t="s">
        <v>80</v>
      </c>
      <c r="N6" s="78" t="s">
        <v>81</v>
      </c>
      <c r="O6" s="78" t="s">
        <v>82</v>
      </c>
      <c r="P6" s="78" t="s">
        <v>83</v>
      </c>
      <c r="Q6" s="79" t="s">
        <v>84</v>
      </c>
      <c r="S6" s="80" t="str">
        <f>IF(OR($B$2="R&amp;T Level 5 - Clinical Lecturers (Vet School)",$B$2="R&amp;T Level 6 - Clinical Associate Professors and Clinical Readers (Vet School)"),"AVA %","")</f>
        <v/>
      </c>
      <c r="T6" s="80" t="str">
        <f>IF(OR($B$2="R&amp;T Level 5 - Clinical Lecturers (Vet School)",$B$2="R&amp;T Level 6 - Clinical Associate Professors and Clinical Readers (Vet School)"),"AVA Amount","")</f>
        <v/>
      </c>
      <c r="U6" s="80" t="str">
        <f>IF(OR($B$2="R&amp;T Level 5 - Clinical Lecturers (Vet School)",$B$2="R&amp;T Level 6 - Clinical Associate Professors and Clinical Readers (Vet School)"),"Clinical Supplement %","")</f>
        <v/>
      </c>
      <c r="V6" s="80" t="str">
        <f>IF(OR($B$2="R&amp;T Level 5 - Clinical Lecturers (Vet School)",$B$2="R&amp;T Level 6 - Clinical Associate Professors and Clinical Readers (Vet School)"),"Clinical Supplement Amount","")</f>
        <v/>
      </c>
      <c r="W6" s="50"/>
      <c r="X6" s="39"/>
      <c r="AO6" s="69"/>
    </row>
    <row r="7" spans="2:41" x14ac:dyDescent="0.25">
      <c r="B7" s="68" t="str">
        <f ca="1">IFERROR(INDEX('Points Lookup'!$A:$A,MATCH($AA7,'Points Lookup'!$AN:$AN,0)),"")</f>
        <v/>
      </c>
      <c r="C7" s="81" t="str">
        <f ca="1">IF(B7="","",SUMIF(INDIRECT("'Points Lookup'!"&amp;VLOOKUP($B$2,Grades!A:BU,72,FALSE)&amp;":"&amp;VLOOKUP($B$2,Grades!A:BU,72,FALSE)),B7,INDIRECT("'Points Lookup'!"&amp;VLOOKUP($B$2,Grades!A:BU,73,FALSE)&amp;":"&amp;VLOOKUP($B$2,Grades!A:BU,73,FALSE))))</f>
        <v/>
      </c>
      <c r="D7" s="82" t="str">
        <f ca="1">IF(B7="","",IF(AND(VLOOKUP($B$2,Grades!$A:$BS,71,0)="Y",B7&lt;8),VLOOKUP($B7,Thresholds_Rates!$I$15:$J$19,2,FALSE),"-"))</f>
        <v/>
      </c>
      <c r="E7" s="82"/>
      <c r="F7" s="81" t="str">
        <f ca="1">IF($B7="","",IF(SUMIF(Grades!$A:$A,$B$2,Grades!$BO:$BO)=0,"-",IF(AND(VLOOKUP($B$2,Grades!$A:$BV,74,FALSE)="YES",B7&lt;Thresholds_Rates!$C$16),"-",$C7*Thresholds_Rates!$F$15)))</f>
        <v/>
      </c>
      <c r="G7" s="81" t="str">
        <f ca="1">IF(B7="","",IF(OR($B$2="Salary Points 3 to 57",$B$2="Salary Points 3 to 57 (post-pay award)"),"-",IF(SUMIF(Grades!$A:$A,$B$2,Grades!$BP:$BP)=0,"-",$C7*Thresholds_Rates!$F$16)))</f>
        <v/>
      </c>
      <c r="H7" s="81" t="str">
        <f ca="1">IF(B7="","",IF($B$2="Apprenticeship","-",IF(SUMIF(Grades!$A:$A,$B$2,Grades!$BQ:$BQ)=0,"-",IF(AND(VLOOKUP($B$2,Grades!$A:$BW,75,FALSE)="YES",B7&gt;Thresholds_Rates!$C$17),"-",$C7*Thresholds_Rates!$F$17))))</f>
        <v/>
      </c>
      <c r="I7" s="81" t="str">
        <f ca="1">IF($B7="","",IF($C7=0,0,ROUND(($C7-(Thresholds_Rates!$C$5*12))*Thresholds_Rates!$C$10,0)))</f>
        <v/>
      </c>
      <c r="J7" s="81" t="str">
        <f ca="1">IF(B7="","",(C7*Thresholds_Rates!$C$12))</f>
        <v/>
      </c>
      <c r="K7" s="81" t="str">
        <f ca="1">IF(B7="","",IF(SUMIF(Grades!$A:$A,$B$2,Grades!$BR:$BR)=0,"-",IF(AND(VLOOKUP($B$2,Grades!$A:$BW,75,FALSE)="YES",B7&gt;Thresholds_Rates!$C$17),"-",$C7*Thresholds_Rates!$F$18)))</f>
        <v/>
      </c>
      <c r="L7" s="68"/>
      <c r="M7" s="81" t="str">
        <f ca="1">IF(B7="","",IF(F7="-","-",$C7+$I7+F7+J7))</f>
        <v/>
      </c>
      <c r="N7" s="81" t="str">
        <f ca="1">IF(B7="","",IF(G7="-","-",$C7+$I7+G7+J7))</f>
        <v/>
      </c>
      <c r="O7" s="81" t="str">
        <f ca="1">IF(B7="","",IF(H7="-","-",$C7+$I7+H7+J7))</f>
        <v/>
      </c>
      <c r="P7" s="81" t="str">
        <f ca="1">IF(B7="","",IF(K7="-","-",$C7+$I7+K7+J7))</f>
        <v/>
      </c>
      <c r="Q7" s="81" t="str">
        <f ca="1">IF(B7="","",C7+I7+J7)</f>
        <v/>
      </c>
      <c r="R7" s="68"/>
      <c r="S7" s="83" t="str">
        <f ca="1">IF(B7="","",IF($B$2="R&amp;T Level 5 - Clinical Lecturers (Vet School)",SUMIF('Points Lookup'!$V:$V,$B7,'Points Lookup'!$W:$W),IF($B$2="R&amp;T Level 6 - Clinical Associate Professors and Clinical Readers (Vet School)",SUMIF('Points Lookup'!$AC:$AC,$B7,'Points Lookup'!$AD:$AD),"")))</f>
        <v/>
      </c>
      <c r="T7" s="84" t="str">
        <f ca="1">IF(B7="","",IF($B$2="R&amp;T Level 5 - Clinical Lecturers (Vet School)",$C7-SUMIF('Points Lookup'!$V:$V,$B7,'Points Lookup'!$X:$X),IF($B$2="R&amp;T Level 6 - Clinical Associate Professors and Clinical Readers (Vet School)",$C7-SUMIF('Points Lookup'!$AC:$AC,$B7,'Points Lookup'!$AE:$AE),"")))</f>
        <v/>
      </c>
      <c r="U7" s="83" t="str">
        <f ca="1">IF(B7="","",IF($B$2="R&amp;T Level 5 - Clinical Lecturers (Vet School)",SUMIF('Points Lookup'!$V:$V,$B7,'Points Lookup'!$Z:$Z),IF($B$2="R&amp;T Level 6 - Clinical Associate Professors and Clinical Readers (Vet School)",SUMIF('Points Lookup'!$AC:$AC,$B7,'Points Lookup'!$AG:$AG),"")))</f>
        <v/>
      </c>
      <c r="V7" s="84" t="str">
        <f t="shared" ref="V7:V38" ca="1" si="0">IF(B7="","",IF($B$2="R&amp;T Level 5 - Clinical Lecturers (Vet School)",ROUND(C7*U7,0),IF($B$2="R&amp;T Level 6 - Clinical Associate Professors and Clinical Readers (Vet School)",ROUND(C7*U7,0),"")))</f>
        <v/>
      </c>
      <c r="X7" s="39"/>
      <c r="AA7" s="174">
        <v>1</v>
      </c>
      <c r="AO7" s="69"/>
    </row>
    <row r="8" spans="2:41" ht="18.75" customHeight="1" x14ac:dyDescent="0.25">
      <c r="B8" s="68" t="str">
        <f ca="1">IFERROR(INDEX('Points Lookup'!$A:$A,MATCH($AA8,'Points Lookup'!$AN:$AN,0)),"")</f>
        <v/>
      </c>
      <c r="C8" s="81" t="str">
        <f ca="1">IF(B8="","",SUMIF(INDIRECT("'Points Lookup'!"&amp;VLOOKUP($B$2,Grades!A:BU,72,FALSE)&amp;":"&amp;VLOOKUP($B$2,Grades!A:BU,72,FALSE)),B8,INDIRECT("'Points Lookup'!"&amp;VLOOKUP($B$2,Grades!A:BU,73,FALSE)&amp;":"&amp;VLOOKUP($B$2,Grades!A:BU,73,FALSE))))</f>
        <v/>
      </c>
      <c r="D8" s="82" t="str">
        <f ca="1">IF(B8="","",IF(AND(VLOOKUP($B$2,Grades!$A:$BS,71,0)="Y",B8&lt;8),VLOOKUP($B8,Thresholds_Rates!$I$15:$J$19,2,FALSE),"-"))</f>
        <v/>
      </c>
      <c r="E8" s="82"/>
      <c r="F8" s="81" t="str">
        <f ca="1">IF($B8="","",IF(SUMIF(Grades!$A:$A,$B$2,Grades!$BO:$BO)=0,"-",IF(AND(VLOOKUP($B$2,Grades!$A:$BV,74,FALSE)="YES",B8&lt;Thresholds_Rates!$C$16),"-",$C8*Thresholds_Rates!$F$15)))</f>
        <v/>
      </c>
      <c r="G8" s="81" t="str">
        <f ca="1">IF(B8="","",IF(OR($B$2="Salary Points 3 to 57",$B$2="Salary Points 3 to 57 (post-pay award)"),"-",IF(SUMIF(Grades!$A:$A,$B$2,Grades!$BP:$BP)=0,"-",$C8*Thresholds_Rates!$F$16)))</f>
        <v/>
      </c>
      <c r="H8" s="81" t="str">
        <f ca="1">IF(B8="","",IF($B$2="Apprenticeship","-",IF(SUMIF(Grades!$A:$A,$B$2,Grades!$BQ:$BQ)=0,"-",IF(AND(VLOOKUP($B$2,Grades!$A:$BW,75,FALSE)="YES",B8&gt;Thresholds_Rates!$C$17),"-",$C8*Thresholds_Rates!$F$17))))</f>
        <v/>
      </c>
      <c r="I8" s="81" t="str">
        <f ca="1">IF($B8="","",IF($C8=0,0,ROUND(($C8-(Thresholds_Rates!$C$5*12))*Thresholds_Rates!$C$10,0)))</f>
        <v/>
      </c>
      <c r="J8" s="81" t="str">
        <f ca="1">IF(B8="","",(C8*Thresholds_Rates!$C$12))</f>
        <v/>
      </c>
      <c r="K8" s="81" t="str">
        <f ca="1">IF(B8="","",IF(SUMIF(Grades!$A:$A,$B$2,Grades!$BR:$BR)=0,"-",IF(AND(VLOOKUP($B$2,Grades!$A:$BW,75,FALSE)="YES",B8&gt;Thresholds_Rates!$C$17),"-",$C8*Thresholds_Rates!$F$18)))</f>
        <v/>
      </c>
      <c r="L8" s="68"/>
      <c r="M8" s="81" t="str">
        <f t="shared" ref="M8:M71" ca="1" si="1">IF(B8="","",IF(F8="-","-",$C8+$I8+F8+J8))</f>
        <v/>
      </c>
      <c r="N8" s="81" t="str">
        <f t="shared" ref="N8:N71" ca="1" si="2">IF(B8="","",IF(G8="-","-",$C8+$I8+G8+J8))</f>
        <v/>
      </c>
      <c r="O8" s="81" t="str">
        <f t="shared" ref="O8:O71" ca="1" si="3">IF(B8="","",IF(H8="-","-",$C8+$I8+H8+J8))</f>
        <v/>
      </c>
      <c r="P8" s="81" t="str">
        <f t="shared" ref="P8:P71" ca="1" si="4">IF(B8="","",IF(K8="-","-",$C8+$I8+K8+J8))</f>
        <v/>
      </c>
      <c r="Q8" s="81" t="str">
        <f t="shared" ref="Q8:Q71" ca="1" si="5">IF(B8="","",C8+I8+J8)</f>
        <v/>
      </c>
      <c r="R8" s="68"/>
      <c r="S8" s="83" t="str">
        <f ca="1">IF(B8="","",IF($B$2="R&amp;T Level 5 - Clinical Lecturers (Vet School)",SUMIF('Points Lookup'!$V:$V,$B8,'Points Lookup'!$W:$W),IF($B$2="R&amp;T Level 6 - Clinical Associate Professors and Clinical Readers (Vet School)",SUMIF('Points Lookup'!$AC:$AC,$B8,'Points Lookup'!$AD:$AD),"")))</f>
        <v/>
      </c>
      <c r="T8" s="84" t="str">
        <f ca="1">IF(B8="","",IF($B$2="R&amp;T Level 5 - Clinical Lecturers (Vet School)",$C8-SUMIF('Points Lookup'!$V:$V,$B8,'Points Lookup'!$X:$X),IF($B$2="R&amp;T Level 6 - Clinical Associate Professors and Clinical Readers (Vet School)",$C8-SUMIF('Points Lookup'!$AC:$AC,$B8,'Points Lookup'!$AE:$AE),"")))</f>
        <v/>
      </c>
      <c r="U8" s="83" t="str">
        <f ca="1">IF(B8="","",IF($B$2="R&amp;T Level 5 - Clinical Lecturers (Vet School)",SUMIF('Points Lookup'!$V:$V,$B8,'Points Lookup'!$Z:$Z),IF($B$2="R&amp;T Level 6 - Clinical Associate Professors and Clinical Readers (Vet School)",SUMIF('Points Lookup'!$AC:$AC,$B8,'Points Lookup'!$AG:$AG),"")))</f>
        <v/>
      </c>
      <c r="V8" s="84" t="str">
        <f t="shared" ca="1" si="0"/>
        <v/>
      </c>
      <c r="X8" s="39"/>
      <c r="AA8" s="174">
        <v>2</v>
      </c>
    </row>
    <row r="9" spans="2:41" x14ac:dyDescent="0.25">
      <c r="B9" s="68" t="str">
        <f ca="1">IFERROR(INDEX('Points Lookup'!$A:$A,MATCH($AA9,'Points Lookup'!$AN:$AN,0)),"")</f>
        <v/>
      </c>
      <c r="C9" s="81" t="str">
        <f ca="1">IF(B9="","",SUMIF(INDIRECT("'Points Lookup'!"&amp;VLOOKUP($B$2,Grades!A:BU,72,FALSE)&amp;":"&amp;VLOOKUP($B$2,Grades!A:BU,72,FALSE)),B9,INDIRECT("'Points Lookup'!"&amp;VLOOKUP($B$2,Grades!A:BU,73,FALSE)&amp;":"&amp;VLOOKUP($B$2,Grades!A:BU,73,FALSE))))</f>
        <v/>
      </c>
      <c r="D9" s="82" t="str">
        <f ca="1">IF(B9="","",IF(AND(VLOOKUP($B$2,Grades!$A:$BS,71,0)="Y",B9&lt;8),VLOOKUP($B9,Thresholds_Rates!$I$15:$J$19,2,FALSE),"-"))</f>
        <v/>
      </c>
      <c r="E9" s="82"/>
      <c r="F9" s="81" t="str">
        <f ca="1">IF($B9="","",IF(SUMIF(Grades!$A:$A,$B$2,Grades!$BO:$BO)=0,"-",IF(AND(VLOOKUP($B$2,Grades!$A:$BV,74,FALSE)="YES",B9&lt;Thresholds_Rates!$C$16),"-",$C9*Thresholds_Rates!$F$15)))</f>
        <v/>
      </c>
      <c r="G9" s="81" t="str">
        <f ca="1">IF(B9="","",IF(OR($B$2="Salary Points 3 to 57",$B$2="Salary Points 3 to 57 (post-pay award)"),"-",IF(SUMIF(Grades!$A:$A,$B$2,Grades!$BP:$BP)=0,"-",$C9*Thresholds_Rates!$F$16)))</f>
        <v/>
      </c>
      <c r="H9" s="81" t="str">
        <f ca="1">IF(B9="","",IF($B$2="Apprenticeship","-",IF(SUMIF(Grades!$A:$A,$B$2,Grades!$BQ:$BQ)=0,"-",IF(AND(VLOOKUP($B$2,Grades!$A:$BW,75,FALSE)="YES",B9&gt;Thresholds_Rates!$C$17),"-",$C9*Thresholds_Rates!$F$17))))</f>
        <v/>
      </c>
      <c r="I9" s="81" t="str">
        <f ca="1">IF($B9="","",IF($C9=0,0,ROUND(($C9-(Thresholds_Rates!$C$5*12))*Thresholds_Rates!$C$10,0)))</f>
        <v/>
      </c>
      <c r="J9" s="81" t="str">
        <f ca="1">IF(B9="","",(C9*Thresholds_Rates!$C$12))</f>
        <v/>
      </c>
      <c r="K9" s="81" t="str">
        <f ca="1">IF(B9="","",IF(SUMIF(Grades!$A:$A,$B$2,Grades!$BR:$BR)=0,"-",IF(AND(VLOOKUP($B$2,Grades!$A:$BW,75,FALSE)="YES",B9&gt;Thresholds_Rates!$C$17),"-",$C9*Thresholds_Rates!$F$18)))</f>
        <v/>
      </c>
      <c r="L9" s="68"/>
      <c r="M9" s="81" t="str">
        <f t="shared" ca="1" si="1"/>
        <v/>
      </c>
      <c r="N9" s="81" t="str">
        <f t="shared" ca="1" si="2"/>
        <v/>
      </c>
      <c r="O9" s="81" t="str">
        <f t="shared" ca="1" si="3"/>
        <v/>
      </c>
      <c r="P9" s="81" t="str">
        <f t="shared" ca="1" si="4"/>
        <v/>
      </c>
      <c r="Q9" s="81" t="str">
        <f t="shared" ca="1" si="5"/>
        <v/>
      </c>
      <c r="S9" s="83" t="str">
        <f ca="1">IF(B9="","",IF($B$2="R&amp;T Level 5 - Clinical Lecturers (Vet School)",SUMIF('Points Lookup'!$V:$V,$B9,'Points Lookup'!$W:$W),IF($B$2="R&amp;T Level 6 - Clinical Associate Professors and Clinical Readers (Vet School)",SUMIF('Points Lookup'!$AC:$AC,$B9,'Points Lookup'!$AD:$AD),"")))</f>
        <v/>
      </c>
      <c r="T9" s="84" t="str">
        <f ca="1">IF(B9="","",IF($B$2="R&amp;T Level 5 - Clinical Lecturers (Vet School)",$C9-SUMIF('Points Lookup'!$V:$V,$B9,'Points Lookup'!$X:$X),IF($B$2="R&amp;T Level 6 - Clinical Associate Professors and Clinical Readers (Vet School)",$C9-SUMIF('Points Lookup'!$AC:$AC,$B9,'Points Lookup'!$AE:$AE),"")))</f>
        <v/>
      </c>
      <c r="U9" s="83" t="str">
        <f ca="1">IF(B9="","",IF($B$2="R&amp;T Level 5 - Clinical Lecturers (Vet School)",SUMIF('Points Lookup'!$V:$V,$B9,'Points Lookup'!$Z:$Z),IF($B$2="R&amp;T Level 6 - Clinical Associate Professors and Clinical Readers (Vet School)",SUMIF('Points Lookup'!$AC:$AC,$B9,'Points Lookup'!$AG:$AG),"")))</f>
        <v/>
      </c>
      <c r="V9" s="84" t="str">
        <f t="shared" ca="1" si="0"/>
        <v/>
      </c>
      <c r="X9" s="39"/>
      <c r="AA9" s="174">
        <v>3</v>
      </c>
    </row>
    <row r="10" spans="2:41" x14ac:dyDescent="0.25">
      <c r="B10" s="68" t="str">
        <f ca="1">IFERROR(INDEX('Points Lookup'!$A:$A,MATCH($AA10,'Points Lookup'!$AN:$AN,0)),"")</f>
        <v/>
      </c>
      <c r="C10" s="81" t="str">
        <f ca="1">IF(B10="","",SUMIF(INDIRECT("'Points Lookup'!"&amp;VLOOKUP($B$2,Grades!A:BU,72,FALSE)&amp;":"&amp;VLOOKUP($B$2,Grades!A:BU,72,FALSE)),B10,INDIRECT("'Points Lookup'!"&amp;VLOOKUP($B$2,Grades!A:BU,73,FALSE)&amp;":"&amp;VLOOKUP($B$2,Grades!A:BU,73,FALSE))))</f>
        <v/>
      </c>
      <c r="D10" s="82" t="str">
        <f ca="1">IF(B10="","",IF(AND(VLOOKUP($B$2,Grades!$A:$BS,71,0)="Y",B10&lt;8),VLOOKUP($B10,Thresholds_Rates!$I$15:$J$19,2,FALSE),"-"))</f>
        <v/>
      </c>
      <c r="E10" s="82"/>
      <c r="F10" s="81" t="str">
        <f ca="1">IF($B10="","",IF(SUMIF(Grades!$A:$A,$B$2,Grades!$BO:$BO)=0,"-",IF(AND(VLOOKUP($B$2,Grades!$A:$BV,74,FALSE)="YES",B10&lt;Thresholds_Rates!$C$16),"-",$C10*Thresholds_Rates!$F$15)))</f>
        <v/>
      </c>
      <c r="G10" s="81" t="str">
        <f ca="1">IF(B10="","",IF(OR($B$2="Salary Points 3 to 57",$B$2="Salary Points 3 to 57 (post-pay award)"),"-",IF(SUMIF(Grades!$A:$A,$B$2,Grades!$BP:$BP)=0,"-",$C10*Thresholds_Rates!$F$16)))</f>
        <v/>
      </c>
      <c r="H10" s="81" t="str">
        <f ca="1">IF(B10="","",IF($B$2="Apprenticeship","-",IF(SUMIF(Grades!$A:$A,$B$2,Grades!$BQ:$BQ)=0,"-",IF(AND(VLOOKUP($B$2,Grades!$A:$BW,75,FALSE)="YES",B10&gt;Thresholds_Rates!$C$17),"-",$C10*Thresholds_Rates!$F$17))))</f>
        <v/>
      </c>
      <c r="I10" s="81" t="str">
        <f ca="1">IF($B10="","",IF($C10=0,0,ROUND(($C10-(Thresholds_Rates!$C$5*12))*Thresholds_Rates!$C$10,0)))</f>
        <v/>
      </c>
      <c r="J10" s="81" t="str">
        <f ca="1">IF(B10="","",(C10*Thresholds_Rates!$C$12))</f>
        <v/>
      </c>
      <c r="K10" s="81" t="str">
        <f ca="1">IF(B10="","",IF(SUMIF(Grades!$A:$A,$B$2,Grades!$BR:$BR)=0,"-",IF(AND(VLOOKUP($B$2,Grades!$A:$BW,75,FALSE)="YES",B10&gt;Thresholds_Rates!$C$17),"-",$C10*Thresholds_Rates!$F$18)))</f>
        <v/>
      </c>
      <c r="L10" s="68"/>
      <c r="M10" s="81" t="str">
        <f t="shared" ca="1" si="1"/>
        <v/>
      </c>
      <c r="N10" s="81" t="str">
        <f t="shared" ca="1" si="2"/>
        <v/>
      </c>
      <c r="O10" s="81" t="str">
        <f t="shared" ca="1" si="3"/>
        <v/>
      </c>
      <c r="P10" s="81" t="str">
        <f t="shared" ca="1" si="4"/>
        <v/>
      </c>
      <c r="Q10" s="81" t="str">
        <f t="shared" ca="1" si="5"/>
        <v/>
      </c>
      <c r="S10" s="83" t="str">
        <f ca="1">IF(B10="","",IF($B$2="R&amp;T Level 5 - Clinical Lecturers (Vet School)",SUMIF('Points Lookup'!$V:$V,$B10,'Points Lookup'!$W:$W),IF($B$2="R&amp;T Level 6 - Clinical Associate Professors and Clinical Readers (Vet School)",SUMIF('Points Lookup'!$AC:$AC,$B10,'Points Lookup'!$AD:$AD),"")))</f>
        <v/>
      </c>
      <c r="T10" s="84" t="str">
        <f ca="1">IF(B10="","",IF($B$2="R&amp;T Level 5 - Clinical Lecturers (Vet School)",$C10-SUMIF('Points Lookup'!$V:$V,$B10,'Points Lookup'!$X:$X),IF($B$2="R&amp;T Level 6 - Clinical Associate Professors and Clinical Readers (Vet School)",$C10-SUMIF('Points Lookup'!$AC:$AC,$B10,'Points Lookup'!$AE:$AE),"")))</f>
        <v/>
      </c>
      <c r="U10" s="83" t="str">
        <f ca="1">IF(B10="","",IF($B$2="R&amp;T Level 5 - Clinical Lecturers (Vet School)",SUMIF('Points Lookup'!$V:$V,$B10,'Points Lookup'!$Z:$Z),IF($B$2="R&amp;T Level 6 - Clinical Associate Professors and Clinical Readers (Vet School)",SUMIF('Points Lookup'!$AC:$AC,$B10,'Points Lookup'!$AG:$AG),"")))</f>
        <v/>
      </c>
      <c r="V10" s="84" t="str">
        <f t="shared" ca="1" si="0"/>
        <v/>
      </c>
      <c r="X10" s="39"/>
      <c r="AA10" s="174">
        <v>4</v>
      </c>
    </row>
    <row r="11" spans="2:41" x14ac:dyDescent="0.25">
      <c r="B11" s="68" t="str">
        <f ca="1">IFERROR(INDEX('Points Lookup'!$A:$A,MATCH($AA11,'Points Lookup'!$AN:$AN,0)),"")</f>
        <v/>
      </c>
      <c r="C11" s="81" t="str">
        <f ca="1">IF(B11="","",SUMIF(INDIRECT("'Points Lookup'!"&amp;VLOOKUP($B$2,Grades!A:BU,72,FALSE)&amp;":"&amp;VLOOKUP($B$2,Grades!A:BU,72,FALSE)),B11,INDIRECT("'Points Lookup'!"&amp;VLOOKUP($B$2,Grades!A:BU,73,FALSE)&amp;":"&amp;VLOOKUP($B$2,Grades!A:BU,73,FALSE))))</f>
        <v/>
      </c>
      <c r="D11" s="82" t="str">
        <f ca="1">IF(B11="","",IF(AND(VLOOKUP($B$2,Grades!$A:$BS,71,0)="Y",B11&lt;8),VLOOKUP($B11,Thresholds_Rates!$I$15:$J$19,2,FALSE),"-"))</f>
        <v/>
      </c>
      <c r="E11" s="81"/>
      <c r="F11" s="81" t="str">
        <f ca="1">IF($B11="","",IF(SUMIF(Grades!$A:$A,$B$2,Grades!$BO:$BO)=0,"-",IF(AND(VLOOKUP($B$2,Grades!$A:$BV,74,FALSE)="YES",B11&lt;Thresholds_Rates!$C$16),"-",$C11*Thresholds_Rates!$F$15)))</f>
        <v/>
      </c>
      <c r="G11" s="81" t="str">
        <f ca="1">IF(B11="","",IF(OR($B$2="Salary Points 3 to 57",$B$2="Salary Points 3 to 57 (post-pay award)"),"-",IF(SUMIF(Grades!$A:$A,$B$2,Grades!$BP:$BP)=0,"-",$C11*Thresholds_Rates!$F$16)))</f>
        <v/>
      </c>
      <c r="H11" s="81" t="str">
        <f ca="1">IF(B11="","",IF($B$2="Apprenticeship","-",IF(SUMIF(Grades!$A:$A,$B$2,Grades!$BQ:$BQ)=0,"-",IF(AND(VLOOKUP($B$2,Grades!$A:$BW,75,FALSE)="YES",B11&gt;Thresholds_Rates!$C$17),"-",$C11*Thresholds_Rates!$F$17))))</f>
        <v/>
      </c>
      <c r="I11" s="81" t="str">
        <f ca="1">IF($B11="","",IF($C11=0,0,ROUND(($C11-(Thresholds_Rates!$C$5*12))*Thresholds_Rates!$C$10,0)))</f>
        <v/>
      </c>
      <c r="J11" s="81" t="str">
        <f ca="1">IF(B11="","",(C11*Thresholds_Rates!$C$12))</f>
        <v/>
      </c>
      <c r="K11" s="81" t="str">
        <f ca="1">IF(B11="","",IF(SUMIF(Grades!$A:$A,$B$2,Grades!$BR:$BR)=0,"-",IF(AND(VLOOKUP($B$2,Grades!$A:$BW,75,FALSE)="YES",B11&gt;Thresholds_Rates!$C$17),"-",$C11*Thresholds_Rates!$F$18)))</f>
        <v/>
      </c>
      <c r="L11" s="68"/>
      <c r="M11" s="81" t="str">
        <f t="shared" ca="1" si="1"/>
        <v/>
      </c>
      <c r="N11" s="81" t="str">
        <f t="shared" ca="1" si="2"/>
        <v/>
      </c>
      <c r="O11" s="81" t="str">
        <f t="shared" ca="1" si="3"/>
        <v/>
      </c>
      <c r="P11" s="81" t="str">
        <f t="shared" ca="1" si="4"/>
        <v/>
      </c>
      <c r="Q11" s="81" t="str">
        <f t="shared" ca="1" si="5"/>
        <v/>
      </c>
      <c r="S11" s="83" t="str">
        <f ca="1">IF(B11="","",IF($B$2="R&amp;T Level 5 - Clinical Lecturers (Vet School)",SUMIF('Points Lookup'!$V:$V,$B11,'Points Lookup'!$W:$W),IF($B$2="R&amp;T Level 6 - Clinical Associate Professors and Clinical Readers (Vet School)",SUMIF('Points Lookup'!$AC:$AC,$B11,'Points Lookup'!$AD:$AD),"")))</f>
        <v/>
      </c>
      <c r="T11" s="84" t="str">
        <f ca="1">IF(B11="","",IF($B$2="R&amp;T Level 5 - Clinical Lecturers (Vet School)",$C11-SUMIF('Points Lookup'!$V:$V,$B11,'Points Lookup'!$X:$X),IF($B$2="R&amp;T Level 6 - Clinical Associate Professors and Clinical Readers (Vet School)",$C11-SUMIF('Points Lookup'!$AC:$AC,$B11,'Points Lookup'!$AE:$AE),"")))</f>
        <v/>
      </c>
      <c r="U11" s="83" t="str">
        <f ca="1">IF(B11="","",IF($B$2="R&amp;T Level 5 - Clinical Lecturers (Vet School)",SUMIF('Points Lookup'!$V:$V,$B11,'Points Lookup'!$Z:$Z),IF($B$2="R&amp;T Level 6 - Clinical Associate Professors and Clinical Readers (Vet School)",SUMIF('Points Lookup'!$AC:$AC,$B11,'Points Lookup'!$AG:$AG),"")))</f>
        <v/>
      </c>
      <c r="V11" s="84" t="str">
        <f t="shared" ca="1" si="0"/>
        <v/>
      </c>
      <c r="X11" s="39"/>
      <c r="AA11" s="174">
        <v>5</v>
      </c>
    </row>
    <row r="12" spans="2:41" x14ac:dyDescent="0.25">
      <c r="B12" s="68" t="str">
        <f ca="1">IFERROR(INDEX('Points Lookup'!$A:$A,MATCH($AA12,'Points Lookup'!$AN:$AN,0)),"")</f>
        <v/>
      </c>
      <c r="C12" s="81" t="str">
        <f ca="1">IF(B12="","",SUMIF(INDIRECT("'Points Lookup'!"&amp;VLOOKUP($B$2,Grades!A:BU,72,FALSE)&amp;":"&amp;VLOOKUP($B$2,Grades!A:BU,72,FALSE)),B12,INDIRECT("'Points Lookup'!"&amp;VLOOKUP($B$2,Grades!A:BU,73,FALSE)&amp;":"&amp;VLOOKUP($B$2,Grades!A:BU,73,FALSE))))</f>
        <v/>
      </c>
      <c r="D12" s="82" t="str">
        <f ca="1">IF(B12="","",IF(AND(VLOOKUP($B$2,Grades!$A:$BS,71,0)="Y",B12&lt;8),VLOOKUP($B12,Thresholds_Rates!$I$15:$J$19,2,FALSE),"-"))</f>
        <v/>
      </c>
      <c r="E12" s="81"/>
      <c r="F12" s="81" t="str">
        <f ca="1">IF($B12="","",IF(SUMIF(Grades!$A:$A,$B$2,Grades!$BO:$BO)=0,"-",IF(AND(VLOOKUP($B$2,Grades!$A:$BV,74,FALSE)="YES",B12&lt;Thresholds_Rates!$C$16),"-",$C12*Thresholds_Rates!$F$15)))</f>
        <v/>
      </c>
      <c r="G12" s="81" t="str">
        <f ca="1">IF(B12="","",IF(OR($B$2="Salary Points 3 to 57",$B$2="Salary Points 3 to 57 (post-pay award)"),"-",IF(SUMIF(Grades!$A:$A,$B$2,Grades!$BP:$BP)=0,"-",$C12*Thresholds_Rates!$F$16)))</f>
        <v/>
      </c>
      <c r="H12" s="81" t="str">
        <f ca="1">IF(B12="","",IF($B$2="Apprenticeship","-",IF(SUMIF(Grades!$A:$A,$B$2,Grades!$BQ:$BQ)=0,"-",IF(AND(VLOOKUP($B$2,Grades!$A:$BW,75,FALSE)="YES",B12&gt;Thresholds_Rates!$C$17),"-",$C12*Thresholds_Rates!$F$17))))</f>
        <v/>
      </c>
      <c r="I12" s="81" t="str">
        <f ca="1">IF($B12="","",IF($C12=0,0,ROUND(($C12-(Thresholds_Rates!$C$5*12))*Thresholds_Rates!$C$10,0)))</f>
        <v/>
      </c>
      <c r="J12" s="81" t="str">
        <f ca="1">IF(B12="","",(C12*Thresholds_Rates!$C$12))</f>
        <v/>
      </c>
      <c r="K12" s="81" t="str">
        <f ca="1">IF(B12="","",IF(SUMIF(Grades!$A:$A,$B$2,Grades!$BR:$BR)=0,"-",IF(AND(VLOOKUP($B$2,Grades!$A:$BW,75,FALSE)="YES",B12&gt;Thresholds_Rates!$C$17),"-",$C12*Thresholds_Rates!$F$18)))</f>
        <v/>
      </c>
      <c r="L12" s="68"/>
      <c r="M12" s="81" t="str">
        <f t="shared" ca="1" si="1"/>
        <v/>
      </c>
      <c r="N12" s="81" t="str">
        <f t="shared" ca="1" si="2"/>
        <v/>
      </c>
      <c r="O12" s="81" t="str">
        <f t="shared" ca="1" si="3"/>
        <v/>
      </c>
      <c r="P12" s="81" t="str">
        <f t="shared" ca="1" si="4"/>
        <v/>
      </c>
      <c r="Q12" s="81" t="str">
        <f t="shared" ca="1" si="5"/>
        <v/>
      </c>
      <c r="S12" s="83" t="str">
        <f ca="1">IF(B12="","",IF($B$2="R&amp;T Level 5 - Clinical Lecturers (Vet School)",SUMIF('Points Lookup'!$V:$V,$B12,'Points Lookup'!$W:$W),IF($B$2="R&amp;T Level 6 - Clinical Associate Professors and Clinical Readers (Vet School)",SUMIF('Points Lookup'!$AC:$AC,$B12,'Points Lookup'!$AD:$AD),"")))</f>
        <v/>
      </c>
      <c r="T12" s="84" t="str">
        <f ca="1">IF(B12="","",IF($B$2="R&amp;T Level 5 - Clinical Lecturers (Vet School)",$C12-SUMIF('Points Lookup'!$V:$V,$B12,'Points Lookup'!$X:$X),IF($B$2="R&amp;T Level 6 - Clinical Associate Professors and Clinical Readers (Vet School)",$C12-SUMIF('Points Lookup'!$AC:$AC,$B12,'Points Lookup'!$AE:$AE),"")))</f>
        <v/>
      </c>
      <c r="U12" s="83" t="str">
        <f ca="1">IF(B12="","",IF($B$2="R&amp;T Level 5 - Clinical Lecturers (Vet School)",SUMIF('Points Lookup'!$V:$V,$B12,'Points Lookup'!$Z:$Z),IF($B$2="R&amp;T Level 6 - Clinical Associate Professors and Clinical Readers (Vet School)",SUMIF('Points Lookup'!$AC:$AC,$B12,'Points Lookup'!$AG:$AG),"")))</f>
        <v/>
      </c>
      <c r="V12" s="84" t="str">
        <f t="shared" ca="1" si="0"/>
        <v/>
      </c>
      <c r="X12" s="39"/>
      <c r="AA12" s="174">
        <v>6</v>
      </c>
    </row>
    <row r="13" spans="2:41" x14ac:dyDescent="0.25">
      <c r="B13" s="68" t="str">
        <f ca="1">IFERROR(INDEX('Points Lookup'!$A:$A,MATCH($AA13,'Points Lookup'!$AN:$AN,0)),"")</f>
        <v/>
      </c>
      <c r="C13" s="81" t="str">
        <f ca="1">IF(B13="","",SUMIF(INDIRECT("'Points Lookup'!"&amp;VLOOKUP($B$2,Grades!A:BU,72,FALSE)&amp;":"&amp;VLOOKUP($B$2,Grades!A:BU,72,FALSE)),B13,INDIRECT("'Points Lookup'!"&amp;VLOOKUP($B$2,Grades!A:BU,73,FALSE)&amp;":"&amp;VLOOKUP($B$2,Grades!A:BU,73,FALSE))))</f>
        <v/>
      </c>
      <c r="D13" s="82" t="str">
        <f ca="1">IF(B13="","",IF(AND(VLOOKUP($B$2,Grades!$A:$BS,71,0)="Y",B13&lt;8),VLOOKUP($B13,Thresholds_Rates!$I$15:$J$19,2,FALSE),"-"))</f>
        <v/>
      </c>
      <c r="E13" s="81"/>
      <c r="F13" s="81" t="str">
        <f ca="1">IF($B13="","",IF(SUMIF(Grades!$A:$A,$B$2,Grades!$BO:$BO)=0,"-",IF(AND(VLOOKUP($B$2,Grades!$A:$BV,74,FALSE)="YES",B13&lt;Thresholds_Rates!$C$16),"-",$C13*Thresholds_Rates!$F$15)))</f>
        <v/>
      </c>
      <c r="G13" s="81" t="str">
        <f ca="1">IF(B13="","",IF(OR($B$2="Salary Points 3 to 57",$B$2="Salary Points 3 to 57 (post-pay award)"),"-",IF(SUMIF(Grades!$A:$A,$B$2,Grades!$BP:$BP)=0,"-",$C13*Thresholds_Rates!$F$16)))</f>
        <v/>
      </c>
      <c r="H13" s="81" t="str">
        <f ca="1">IF(B13="","",IF($B$2="Apprenticeship","-",IF(SUMIF(Grades!$A:$A,$B$2,Grades!$BQ:$BQ)=0,"-",IF(AND(VLOOKUP($B$2,Grades!$A:$BW,75,FALSE)="YES",B13&gt;Thresholds_Rates!$C$17),"-",$C13*Thresholds_Rates!$F$17))))</f>
        <v/>
      </c>
      <c r="I13" s="81" t="str">
        <f ca="1">IF($B13="","",IF($C13=0,0,ROUND(($C13-(Thresholds_Rates!$C$5*12))*Thresholds_Rates!$C$10,0)))</f>
        <v/>
      </c>
      <c r="J13" s="81" t="str">
        <f ca="1">IF(B13="","",(C13*Thresholds_Rates!$C$12))</f>
        <v/>
      </c>
      <c r="K13" s="81" t="str">
        <f ca="1">IF(B13="","",IF(SUMIF(Grades!$A:$A,$B$2,Grades!$BR:$BR)=0,"-",IF(AND(VLOOKUP($B$2,Grades!$A:$BW,75,FALSE)="YES",B13&gt;Thresholds_Rates!$C$17),"-",$C13*Thresholds_Rates!$F$18)))</f>
        <v/>
      </c>
      <c r="L13" s="68"/>
      <c r="M13" s="81" t="str">
        <f t="shared" ca="1" si="1"/>
        <v/>
      </c>
      <c r="N13" s="81" t="str">
        <f t="shared" ca="1" si="2"/>
        <v/>
      </c>
      <c r="O13" s="81" t="str">
        <f t="shared" ca="1" si="3"/>
        <v/>
      </c>
      <c r="P13" s="81" t="str">
        <f t="shared" ca="1" si="4"/>
        <v/>
      </c>
      <c r="Q13" s="81" t="str">
        <f t="shared" ca="1" si="5"/>
        <v/>
      </c>
      <c r="S13" s="83" t="str">
        <f ca="1">IF(B13="","",IF($B$2="R&amp;T Level 5 - Clinical Lecturers (Vet School)",SUMIF('Points Lookup'!$V:$V,$B13,'Points Lookup'!$W:$W),IF($B$2="R&amp;T Level 6 - Clinical Associate Professors and Clinical Readers (Vet School)",SUMIF('Points Lookup'!$AC:$AC,$B13,'Points Lookup'!$AD:$AD),"")))</f>
        <v/>
      </c>
      <c r="T13" s="84" t="str">
        <f ca="1">IF(B13="","",IF($B$2="R&amp;T Level 5 - Clinical Lecturers (Vet School)",$C13-SUMIF('Points Lookup'!$V:$V,$B13,'Points Lookup'!$X:$X),IF($B$2="R&amp;T Level 6 - Clinical Associate Professors and Clinical Readers (Vet School)",$C13-SUMIF('Points Lookup'!$AC:$AC,$B13,'Points Lookup'!$AE:$AE),"")))</f>
        <v/>
      </c>
      <c r="U13" s="83" t="str">
        <f ca="1">IF(B13="","",IF($B$2="R&amp;T Level 5 - Clinical Lecturers (Vet School)",SUMIF('Points Lookup'!$V:$V,$B13,'Points Lookup'!$Z:$Z),IF($B$2="R&amp;T Level 6 - Clinical Associate Professors and Clinical Readers (Vet School)",SUMIF('Points Lookup'!$AC:$AC,$B13,'Points Lookup'!$AG:$AG),"")))</f>
        <v/>
      </c>
      <c r="V13" s="84" t="str">
        <f t="shared" ca="1" si="0"/>
        <v/>
      </c>
      <c r="X13" s="39"/>
      <c r="AA13" s="174">
        <v>7</v>
      </c>
    </row>
    <row r="14" spans="2:41" x14ac:dyDescent="0.25">
      <c r="B14" s="68" t="str">
        <f ca="1">IFERROR(INDEX('Points Lookup'!$A:$A,MATCH($AA14,'Points Lookup'!$AN:$AN,0)),"")</f>
        <v/>
      </c>
      <c r="C14" s="81" t="str">
        <f ca="1">IF(B14="","",SUMIF(INDIRECT("'Points Lookup'!"&amp;VLOOKUP($B$2,Grades!A:BU,72,FALSE)&amp;":"&amp;VLOOKUP($B$2,Grades!A:BU,72,FALSE)),B14,INDIRECT("'Points Lookup'!"&amp;VLOOKUP($B$2,Grades!A:BU,73,FALSE)&amp;":"&amp;VLOOKUP($B$2,Grades!A:BU,73,FALSE))))</f>
        <v/>
      </c>
      <c r="D14" s="82" t="str">
        <f ca="1">IF(B14="","",IF(AND(VLOOKUP($B$2,Grades!$A:$BS,71,0)="Y",B14&lt;8),VLOOKUP($B14,Thresholds_Rates!$I$15:$J$19,2,FALSE),"-"))</f>
        <v/>
      </c>
      <c r="E14" s="81"/>
      <c r="F14" s="81" t="str">
        <f ca="1">IF($B14="","",IF(SUMIF(Grades!$A:$A,$B$2,Grades!$BO:$BO)=0,"-",IF(AND(VLOOKUP($B$2,Grades!$A:$BV,74,FALSE)="YES",B14&lt;Thresholds_Rates!$C$16),"-",$C14*Thresholds_Rates!$F$15)))</f>
        <v/>
      </c>
      <c r="G14" s="81" t="str">
        <f ca="1">IF(B14="","",IF(OR($B$2="Salary Points 3 to 57",$B$2="Salary Points 3 to 57 (post-pay award)"),"-",IF(SUMIF(Grades!$A:$A,$B$2,Grades!$BP:$BP)=0,"-",$C14*Thresholds_Rates!$F$16)))</f>
        <v/>
      </c>
      <c r="H14" s="81" t="str">
        <f ca="1">IF(B14="","",IF($B$2="Apprenticeship","-",IF(SUMIF(Grades!$A:$A,$B$2,Grades!$BQ:$BQ)=0,"-",IF(AND(VLOOKUP($B$2,Grades!$A:$BW,75,FALSE)="YES",B14&gt;Thresholds_Rates!$C$17),"-",$C14*Thresholds_Rates!$F$17))))</f>
        <v/>
      </c>
      <c r="I14" s="81" t="str">
        <f ca="1">IF($B14="","",IF($C14=0,0,ROUND(($C14-(Thresholds_Rates!$C$5*12))*Thresholds_Rates!$C$10,0)))</f>
        <v/>
      </c>
      <c r="J14" s="81" t="str">
        <f ca="1">IF(B14="","",(C14*Thresholds_Rates!$C$12))</f>
        <v/>
      </c>
      <c r="K14" s="81" t="str">
        <f ca="1">IF(B14="","",IF(SUMIF(Grades!$A:$A,$B$2,Grades!$BR:$BR)=0,"-",IF(AND(VLOOKUP($B$2,Grades!$A:$BW,75,FALSE)="YES",B14&gt;Thresholds_Rates!$C$17),"-",$C14*Thresholds_Rates!$F$18)))</f>
        <v/>
      </c>
      <c r="L14" s="68"/>
      <c r="M14" s="81" t="str">
        <f t="shared" ca="1" si="1"/>
        <v/>
      </c>
      <c r="N14" s="81" t="str">
        <f t="shared" ca="1" si="2"/>
        <v/>
      </c>
      <c r="O14" s="81" t="str">
        <f t="shared" ca="1" si="3"/>
        <v/>
      </c>
      <c r="P14" s="81" t="str">
        <f t="shared" ca="1" si="4"/>
        <v/>
      </c>
      <c r="Q14" s="81" t="str">
        <f t="shared" ca="1" si="5"/>
        <v/>
      </c>
      <c r="S14" s="83" t="str">
        <f ca="1">IF(B14="","",IF($B$2="R&amp;T Level 5 - Clinical Lecturers (Vet School)",SUMIF('Points Lookup'!$V:$V,$B14,'Points Lookup'!$W:$W),IF($B$2="R&amp;T Level 6 - Clinical Associate Professors and Clinical Readers (Vet School)",SUMIF('Points Lookup'!$AC:$AC,$B14,'Points Lookup'!$AD:$AD),"")))</f>
        <v/>
      </c>
      <c r="T14" s="84" t="str">
        <f ca="1">IF(B14="","",IF($B$2="R&amp;T Level 5 - Clinical Lecturers (Vet School)",$C14-SUMIF('Points Lookup'!$V:$V,$B14,'Points Lookup'!$X:$X),IF($B$2="R&amp;T Level 6 - Clinical Associate Professors and Clinical Readers (Vet School)",$C14-SUMIF('Points Lookup'!$AC:$AC,$B14,'Points Lookup'!$AE:$AE),"")))</f>
        <v/>
      </c>
      <c r="U14" s="83" t="str">
        <f ca="1">IF(B14="","",IF($B$2="R&amp;T Level 5 - Clinical Lecturers (Vet School)",SUMIF('Points Lookup'!$V:$V,$B14,'Points Lookup'!$Z:$Z),IF($B$2="R&amp;T Level 6 - Clinical Associate Professors and Clinical Readers (Vet School)",SUMIF('Points Lookup'!$AC:$AC,$B14,'Points Lookup'!$AG:$AG),"")))</f>
        <v/>
      </c>
      <c r="V14" s="84" t="str">
        <f t="shared" ca="1" si="0"/>
        <v/>
      </c>
      <c r="X14" s="39"/>
      <c r="AA14" s="174">
        <v>8</v>
      </c>
    </row>
    <row r="15" spans="2:41" x14ac:dyDescent="0.25">
      <c r="B15" s="68" t="str">
        <f ca="1">IFERROR(INDEX('Points Lookup'!$A:$A,MATCH($AA15,'Points Lookup'!$AN:$AN,0)),"")</f>
        <v/>
      </c>
      <c r="C15" s="81" t="str">
        <f ca="1">IF(B15="","",SUMIF(INDIRECT("'Points Lookup'!"&amp;VLOOKUP($B$2,Grades!A:BU,72,FALSE)&amp;":"&amp;VLOOKUP($B$2,Grades!A:BU,72,FALSE)),B15,INDIRECT("'Points Lookup'!"&amp;VLOOKUP($B$2,Grades!A:BU,73,FALSE)&amp;":"&amp;VLOOKUP($B$2,Grades!A:BU,73,FALSE))))</f>
        <v/>
      </c>
      <c r="D15" s="82" t="str">
        <f ca="1">IF(B15="","",IF(AND(VLOOKUP($B$2,Grades!$A:$BS,71,0)="Y",B15&lt;8),VLOOKUP($B15,Thresholds_Rates!$I$15:$J$19,2,FALSE),"-"))</f>
        <v/>
      </c>
      <c r="E15" s="81"/>
      <c r="F15" s="81" t="str">
        <f ca="1">IF($B15="","",IF(SUMIF(Grades!$A:$A,$B$2,Grades!$BO:$BO)=0,"-",IF(AND(VLOOKUP($B$2,Grades!$A:$BV,74,FALSE)="YES",B15&lt;Thresholds_Rates!$C$16),"-",$C15*Thresholds_Rates!$F$15)))</f>
        <v/>
      </c>
      <c r="G15" s="81" t="str">
        <f ca="1">IF(B15="","",IF(OR($B$2="Salary Points 3 to 57",$B$2="Salary Points 3 to 57 (post-pay award)"),"-",IF(SUMIF(Grades!$A:$A,$B$2,Grades!$BP:$BP)=0,"-",$C15*Thresholds_Rates!$F$16)))</f>
        <v/>
      </c>
      <c r="H15" s="81" t="str">
        <f ca="1">IF(B15="","",IF($B$2="Apprenticeship","-",IF(SUMIF(Grades!$A:$A,$B$2,Grades!$BQ:$BQ)=0,"-",IF(AND(VLOOKUP($B$2,Grades!$A:$BW,75,FALSE)="YES",B15&gt;Thresholds_Rates!$C$17),"-",$C15*Thresholds_Rates!$F$17))))</f>
        <v/>
      </c>
      <c r="I15" s="81" t="str">
        <f ca="1">IF($B15="","",IF($C15=0,0,ROUND(($C15-(Thresholds_Rates!$C$5*12))*Thresholds_Rates!$C$10,0)))</f>
        <v/>
      </c>
      <c r="J15" s="81" t="str">
        <f ca="1">IF(B15="","",(C15*Thresholds_Rates!$C$12))</f>
        <v/>
      </c>
      <c r="K15" s="81" t="str">
        <f ca="1">IF(B15="","",IF(SUMIF(Grades!$A:$A,$B$2,Grades!$BR:$BR)=0,"-",IF(AND(VLOOKUP($B$2,Grades!$A:$BW,75,FALSE)="YES",B15&gt;Thresholds_Rates!$C$17),"-",$C15*Thresholds_Rates!$F$18)))</f>
        <v/>
      </c>
      <c r="L15" s="68"/>
      <c r="M15" s="81" t="str">
        <f t="shared" ca="1" si="1"/>
        <v/>
      </c>
      <c r="N15" s="81" t="str">
        <f t="shared" ca="1" si="2"/>
        <v/>
      </c>
      <c r="O15" s="81" t="str">
        <f t="shared" ca="1" si="3"/>
        <v/>
      </c>
      <c r="P15" s="81" t="str">
        <f t="shared" ca="1" si="4"/>
        <v/>
      </c>
      <c r="Q15" s="81" t="str">
        <f t="shared" ca="1" si="5"/>
        <v/>
      </c>
      <c r="S15" s="83" t="str">
        <f ca="1">IF(B15="","",IF($B$2="R&amp;T Level 5 - Clinical Lecturers (Vet School)",SUMIF('Points Lookup'!$V:$V,$B15,'Points Lookup'!$W:$W),IF($B$2="R&amp;T Level 6 - Clinical Associate Professors and Clinical Readers (Vet School)",SUMIF('Points Lookup'!$AC:$AC,$B15,'Points Lookup'!$AD:$AD),"")))</f>
        <v/>
      </c>
      <c r="T15" s="84" t="str">
        <f ca="1">IF(B15="","",IF($B$2="R&amp;T Level 5 - Clinical Lecturers (Vet School)",$C15-SUMIF('Points Lookup'!$V:$V,$B15,'Points Lookup'!$X:$X),IF($B$2="R&amp;T Level 6 - Clinical Associate Professors and Clinical Readers (Vet School)",$C15-SUMIF('Points Lookup'!$AC:$AC,$B15,'Points Lookup'!$AE:$AE),"")))</f>
        <v/>
      </c>
      <c r="U15" s="83" t="str">
        <f ca="1">IF(B15="","",IF($B$2="R&amp;T Level 5 - Clinical Lecturers (Vet School)",SUMIF('Points Lookup'!$V:$V,$B15,'Points Lookup'!$Z:$Z),IF($B$2="R&amp;T Level 6 - Clinical Associate Professors and Clinical Readers (Vet School)",SUMIF('Points Lookup'!$AC:$AC,$B15,'Points Lookup'!$AG:$AG),"")))</f>
        <v/>
      </c>
      <c r="V15" s="84" t="str">
        <f t="shared" ca="1" si="0"/>
        <v/>
      </c>
      <c r="X15" s="39"/>
      <c r="AA15" s="174">
        <v>9</v>
      </c>
    </row>
    <row r="16" spans="2:41" x14ac:dyDescent="0.25">
      <c r="B16" s="68" t="str">
        <f ca="1">IFERROR(INDEX('Points Lookup'!$A:$A,MATCH($AA16,'Points Lookup'!$AN:$AN,0)),"")</f>
        <v/>
      </c>
      <c r="C16" s="81" t="str">
        <f ca="1">IF(B16="","",SUMIF(INDIRECT("'Points Lookup'!"&amp;VLOOKUP($B$2,Grades!A:BU,72,FALSE)&amp;":"&amp;VLOOKUP($B$2,Grades!A:BU,72,FALSE)),B16,INDIRECT("'Points Lookup'!"&amp;VLOOKUP($B$2,Grades!A:BU,73,FALSE)&amp;":"&amp;VLOOKUP($B$2,Grades!A:BU,73,FALSE))))</f>
        <v/>
      </c>
      <c r="D16" s="82" t="str">
        <f ca="1">IF(B16="","",IF(AND(VLOOKUP($B$2,Grades!$A:$BS,71,0)="Y",B16&lt;8),VLOOKUP($B16,Thresholds_Rates!$I$15:$J$19,2,FALSE),"-"))</f>
        <v/>
      </c>
      <c r="E16" s="81"/>
      <c r="F16" s="81" t="str">
        <f ca="1">IF($B16="","",IF(SUMIF(Grades!$A:$A,$B$2,Grades!$BO:$BO)=0,"-",IF(AND(VLOOKUP($B$2,Grades!$A:$BV,74,FALSE)="YES",B16&lt;Thresholds_Rates!$C$16),"-",$C16*Thresholds_Rates!$F$15)))</f>
        <v/>
      </c>
      <c r="G16" s="81" t="str">
        <f ca="1">IF(B16="","",IF(OR($B$2="Salary Points 3 to 57",$B$2="Salary Points 3 to 57 (post-pay award)"),"-",IF(SUMIF(Grades!$A:$A,$B$2,Grades!$BP:$BP)=0,"-",$C16*Thresholds_Rates!$F$16)))</f>
        <v/>
      </c>
      <c r="H16" s="81" t="str">
        <f ca="1">IF(B16="","",IF($B$2="Apprenticeship","-",IF(SUMIF(Grades!$A:$A,$B$2,Grades!$BQ:$BQ)=0,"-",IF(AND(VLOOKUP($B$2,Grades!$A:$BW,75,FALSE)="YES",B16&gt;Thresholds_Rates!$C$17),"-",$C16*Thresholds_Rates!$F$17))))</f>
        <v/>
      </c>
      <c r="I16" s="81" t="str">
        <f ca="1">IF($B16="","",IF($C16=0,0,ROUND(($C16-(Thresholds_Rates!$C$5*12))*Thresholds_Rates!$C$10,0)))</f>
        <v/>
      </c>
      <c r="J16" s="81" t="str">
        <f ca="1">IF(B16="","",(C16*Thresholds_Rates!$C$12))</f>
        <v/>
      </c>
      <c r="K16" s="81" t="str">
        <f ca="1">IF(B16="","",IF(SUMIF(Grades!$A:$A,$B$2,Grades!$BR:$BR)=0,"-",IF(AND(VLOOKUP($B$2,Grades!$A:$BW,75,FALSE)="YES",B16&gt;Thresholds_Rates!$C$17),"-",$C16*Thresholds_Rates!$F$18)))</f>
        <v/>
      </c>
      <c r="L16" s="68"/>
      <c r="M16" s="81" t="str">
        <f t="shared" ca="1" si="1"/>
        <v/>
      </c>
      <c r="N16" s="81" t="str">
        <f t="shared" ca="1" si="2"/>
        <v/>
      </c>
      <c r="O16" s="81" t="str">
        <f t="shared" ca="1" si="3"/>
        <v/>
      </c>
      <c r="P16" s="81" t="str">
        <f t="shared" ca="1" si="4"/>
        <v/>
      </c>
      <c r="Q16" s="81" t="str">
        <f t="shared" ca="1" si="5"/>
        <v/>
      </c>
      <c r="S16" s="83" t="str">
        <f ca="1">IF(B16="","",IF($B$2="R&amp;T Level 5 - Clinical Lecturers (Vet School)",SUMIF('Points Lookup'!$V:$V,$B16,'Points Lookup'!$W:$W),IF($B$2="R&amp;T Level 6 - Clinical Associate Professors and Clinical Readers (Vet School)",SUMIF('Points Lookup'!$AC:$AC,$B16,'Points Lookup'!$AD:$AD),"")))</f>
        <v/>
      </c>
      <c r="T16" s="84" t="str">
        <f ca="1">IF(B16="","",IF($B$2="R&amp;T Level 5 - Clinical Lecturers (Vet School)",$C16-SUMIF('Points Lookup'!$V:$V,$B16,'Points Lookup'!$X:$X),IF($B$2="R&amp;T Level 6 - Clinical Associate Professors and Clinical Readers (Vet School)",$C16-SUMIF('Points Lookup'!$AC:$AC,$B16,'Points Lookup'!$AE:$AE),"")))</f>
        <v/>
      </c>
      <c r="U16" s="83" t="str">
        <f ca="1">IF(B16="","",IF($B$2="R&amp;T Level 5 - Clinical Lecturers (Vet School)",SUMIF('Points Lookup'!$V:$V,$B16,'Points Lookup'!$Z:$Z),IF($B$2="R&amp;T Level 6 - Clinical Associate Professors and Clinical Readers (Vet School)",SUMIF('Points Lookup'!$AC:$AC,$B16,'Points Lookup'!$AG:$AG),"")))</f>
        <v/>
      </c>
      <c r="V16" s="84" t="str">
        <f t="shared" ca="1" si="0"/>
        <v/>
      </c>
      <c r="X16" s="39"/>
      <c r="AA16" s="174">
        <v>10</v>
      </c>
    </row>
    <row r="17" spans="2:27" x14ac:dyDescent="0.25">
      <c r="B17" s="68" t="str">
        <f ca="1">IFERROR(INDEX('Points Lookup'!$A:$A,MATCH($AA17,'Points Lookup'!$AN:$AN,0)),"")</f>
        <v/>
      </c>
      <c r="C17" s="81" t="str">
        <f ca="1">IF(B17="","",SUMIF(INDIRECT("'Points Lookup'!"&amp;VLOOKUP($B$2,Grades!A:BU,72,FALSE)&amp;":"&amp;VLOOKUP($B$2,Grades!A:BU,72,FALSE)),B17,INDIRECT("'Points Lookup'!"&amp;VLOOKUP($B$2,Grades!A:BU,73,FALSE)&amp;":"&amp;VLOOKUP($B$2,Grades!A:BU,73,FALSE))))</f>
        <v/>
      </c>
      <c r="D17" s="82" t="str">
        <f ca="1">IF(B17="","",IF(AND(VLOOKUP($B$2,Grades!$A:$BS,71,0)="Y",B17&lt;8),VLOOKUP($B17,Thresholds_Rates!$I$15:$J$19,2,FALSE),"-"))</f>
        <v/>
      </c>
      <c r="E17" s="81"/>
      <c r="F17" s="81" t="str">
        <f ca="1">IF($B17="","",IF(SUMIF(Grades!$A:$A,$B$2,Grades!$BO:$BO)=0,"-",IF(AND(VLOOKUP($B$2,Grades!$A:$BV,74,FALSE)="YES",B17&lt;Thresholds_Rates!$C$16),"-",$C17*Thresholds_Rates!$F$15)))</f>
        <v/>
      </c>
      <c r="G17" s="81" t="str">
        <f ca="1">IF(B17="","",IF(OR($B$2="Salary Points 3 to 57",$B$2="Salary Points 3 to 57 (post-pay award)"),"-",IF(SUMIF(Grades!$A:$A,$B$2,Grades!$BP:$BP)=0,"-",$C17*Thresholds_Rates!$F$16)))</f>
        <v/>
      </c>
      <c r="H17" s="81" t="str">
        <f ca="1">IF(B17="","",IF($B$2="Apprenticeship","-",IF(SUMIF(Grades!$A:$A,$B$2,Grades!$BQ:$BQ)=0,"-",IF(AND(VLOOKUP($B$2,Grades!$A:$BW,75,FALSE)="YES",B17&gt;Thresholds_Rates!$C$17),"-",$C17*Thresholds_Rates!$F$17))))</f>
        <v/>
      </c>
      <c r="I17" s="81" t="str">
        <f ca="1">IF($B17="","",IF($C17=0,0,ROUND(($C17-(Thresholds_Rates!$C$5*12))*Thresholds_Rates!$C$10,0)))</f>
        <v/>
      </c>
      <c r="J17" s="81" t="str">
        <f ca="1">IF(B17="","",(C17*Thresholds_Rates!$C$12))</f>
        <v/>
      </c>
      <c r="K17" s="81" t="str">
        <f ca="1">IF(B17="","",IF(SUMIF(Grades!$A:$A,$B$2,Grades!$BR:$BR)=0,"-",IF(AND(VLOOKUP($B$2,Grades!$A:$BW,75,FALSE)="YES",B17&gt;Thresholds_Rates!$C$17),"-",$C17*Thresholds_Rates!$F$18)))</f>
        <v/>
      </c>
      <c r="L17" s="68"/>
      <c r="M17" s="81" t="str">
        <f t="shared" ca="1" si="1"/>
        <v/>
      </c>
      <c r="N17" s="81" t="str">
        <f t="shared" ca="1" si="2"/>
        <v/>
      </c>
      <c r="O17" s="81" t="str">
        <f t="shared" ca="1" si="3"/>
        <v/>
      </c>
      <c r="P17" s="81" t="str">
        <f t="shared" ca="1" si="4"/>
        <v/>
      </c>
      <c r="Q17" s="81" t="str">
        <f t="shared" ca="1" si="5"/>
        <v/>
      </c>
      <c r="S17" s="83" t="str">
        <f ca="1">IF(B17="","",IF($B$2="R&amp;T Level 5 - Clinical Lecturers (Vet School)",SUMIF('Points Lookup'!$V:$V,$B17,'Points Lookup'!$W:$W),IF($B$2="R&amp;T Level 6 - Clinical Associate Professors and Clinical Readers (Vet School)",SUMIF('Points Lookup'!$AC:$AC,$B17,'Points Lookup'!$AD:$AD),"")))</f>
        <v/>
      </c>
      <c r="T17" s="84" t="str">
        <f ca="1">IF(B17="","",IF($B$2="R&amp;T Level 5 - Clinical Lecturers (Vet School)",$C17-SUMIF('Points Lookup'!$V:$V,$B17,'Points Lookup'!$X:$X),IF($B$2="R&amp;T Level 6 - Clinical Associate Professors and Clinical Readers (Vet School)",$C17-SUMIF('Points Lookup'!$AC:$AC,$B17,'Points Lookup'!$AE:$AE),"")))</f>
        <v/>
      </c>
      <c r="U17" s="83" t="str">
        <f ca="1">IF(B17="","",IF($B$2="R&amp;T Level 5 - Clinical Lecturers (Vet School)",SUMIF('Points Lookup'!$V:$V,$B17,'Points Lookup'!$Z:$Z),IF($B$2="R&amp;T Level 6 - Clinical Associate Professors and Clinical Readers (Vet School)",SUMIF('Points Lookup'!$AC:$AC,$B17,'Points Lookup'!$AG:$AG),"")))</f>
        <v/>
      </c>
      <c r="V17" s="84" t="str">
        <f t="shared" ca="1" si="0"/>
        <v/>
      </c>
      <c r="AA17" s="174">
        <v>11</v>
      </c>
    </row>
    <row r="18" spans="2:27" x14ac:dyDescent="0.25">
      <c r="B18" s="68" t="str">
        <f ca="1">IFERROR(INDEX('Points Lookup'!$A:$A,MATCH($AA18,'Points Lookup'!$AN:$AN,0)),"")</f>
        <v/>
      </c>
      <c r="C18" s="81" t="str">
        <f ca="1">IF(B18="","",SUMIF(INDIRECT("'Points Lookup'!"&amp;VLOOKUP($B$2,Grades!A:BU,72,FALSE)&amp;":"&amp;VLOOKUP($B$2,Grades!A:BU,72,FALSE)),B18,INDIRECT("'Points Lookup'!"&amp;VLOOKUP($B$2,Grades!A:BU,73,FALSE)&amp;":"&amp;VLOOKUP($B$2,Grades!A:BU,73,FALSE))))</f>
        <v/>
      </c>
      <c r="D18" s="82" t="str">
        <f ca="1">IF(B18="","",IF(AND(VLOOKUP($B$2,Grades!$A:$BS,71,0)="Y",B18&lt;8),VLOOKUP($B18,Thresholds_Rates!$I$15:$J$19,2,FALSE),"-"))</f>
        <v/>
      </c>
      <c r="E18" s="81"/>
      <c r="F18" s="81" t="str">
        <f ca="1">IF($B18="","",IF(SUMIF(Grades!$A:$A,$B$2,Grades!$BO:$BO)=0,"-",IF(AND(VLOOKUP($B$2,Grades!$A:$BV,74,FALSE)="YES",B18&lt;Thresholds_Rates!$C$16),"-",$C18*Thresholds_Rates!$F$15)))</f>
        <v/>
      </c>
      <c r="G18" s="81" t="str">
        <f ca="1">IF(B18="","",IF(OR($B$2="Salary Points 3 to 57",$B$2="Salary Points 3 to 57 (post-pay award)"),"-",IF(SUMIF(Grades!$A:$A,$B$2,Grades!$BP:$BP)=0,"-",$C18*Thresholds_Rates!$F$16)))</f>
        <v/>
      </c>
      <c r="H18" s="81" t="str">
        <f ca="1">IF(B18="","",IF($B$2="Apprenticeship","-",IF(SUMIF(Grades!$A:$A,$B$2,Grades!$BQ:$BQ)=0,"-",IF(AND(VLOOKUP($B$2,Grades!$A:$BW,75,FALSE)="YES",B18&gt;Thresholds_Rates!$C$17),"-",$C18*Thresholds_Rates!$F$17))))</f>
        <v/>
      </c>
      <c r="I18" s="81" t="str">
        <f ca="1">IF($B18="","",IF($C18=0,0,ROUND(($C18-(Thresholds_Rates!$C$5*12))*Thresholds_Rates!$C$10,0)))</f>
        <v/>
      </c>
      <c r="J18" s="81" t="str">
        <f ca="1">IF(B18="","",(C18*Thresholds_Rates!$C$12))</f>
        <v/>
      </c>
      <c r="K18" s="81" t="str">
        <f ca="1">IF(B18="","",IF(SUMIF(Grades!$A:$A,$B$2,Grades!$BR:$BR)=0,"-",IF(AND(VLOOKUP($B$2,Grades!$A:$BW,75,FALSE)="YES",B18&gt;Thresholds_Rates!$C$17),"-",$C18*Thresholds_Rates!$F$18)))</f>
        <v/>
      </c>
      <c r="L18" s="68"/>
      <c r="M18" s="81" t="str">
        <f t="shared" ca="1" si="1"/>
        <v/>
      </c>
      <c r="N18" s="81" t="str">
        <f t="shared" ca="1" si="2"/>
        <v/>
      </c>
      <c r="O18" s="81" t="str">
        <f t="shared" ca="1" si="3"/>
        <v/>
      </c>
      <c r="P18" s="81" t="str">
        <f t="shared" ca="1" si="4"/>
        <v/>
      </c>
      <c r="Q18" s="81" t="str">
        <f t="shared" ca="1" si="5"/>
        <v/>
      </c>
      <c r="S18" s="83" t="str">
        <f ca="1">IF(B18="","",IF($B$2="R&amp;T Level 5 - Clinical Lecturers (Vet School)",SUMIF('Points Lookup'!$V:$V,$B18,'Points Lookup'!$W:$W),IF($B$2="R&amp;T Level 6 - Clinical Associate Professors and Clinical Readers (Vet School)",SUMIF('Points Lookup'!$AC:$AC,$B18,'Points Lookup'!$AD:$AD),"")))</f>
        <v/>
      </c>
      <c r="T18" s="84" t="str">
        <f ca="1">IF(B18="","",IF($B$2="R&amp;T Level 5 - Clinical Lecturers (Vet School)",$C18-SUMIF('Points Lookup'!$V:$V,$B18,'Points Lookup'!$X:$X),IF($B$2="R&amp;T Level 6 - Clinical Associate Professors and Clinical Readers (Vet School)",$C18-SUMIF('Points Lookup'!$AC:$AC,$B18,'Points Lookup'!$AE:$AE),"")))</f>
        <v/>
      </c>
      <c r="U18" s="83" t="str">
        <f ca="1">IF(B18="","",IF($B$2="R&amp;T Level 5 - Clinical Lecturers (Vet School)",SUMIF('Points Lookup'!$V:$V,$B18,'Points Lookup'!$Z:$Z),IF($B$2="R&amp;T Level 6 - Clinical Associate Professors and Clinical Readers (Vet School)",SUMIF('Points Lookup'!$AC:$AC,$B18,'Points Lookup'!$AG:$AG),"")))</f>
        <v/>
      </c>
      <c r="V18" s="84" t="str">
        <f t="shared" ca="1" si="0"/>
        <v/>
      </c>
      <c r="AA18" s="174">
        <v>12</v>
      </c>
    </row>
    <row r="19" spans="2:27" x14ac:dyDescent="0.25">
      <c r="B19" s="68" t="str">
        <f ca="1">IFERROR(INDEX('Points Lookup'!$A:$A,MATCH($AA19,'Points Lookup'!$AN:$AN,0)),"")</f>
        <v/>
      </c>
      <c r="C19" s="81" t="str">
        <f ca="1">IF(B19="","",SUMIF(INDIRECT("'Points Lookup'!"&amp;VLOOKUP($B$2,Grades!A:BU,72,FALSE)&amp;":"&amp;VLOOKUP($B$2,Grades!A:BU,72,FALSE)),B19,INDIRECT("'Points Lookup'!"&amp;VLOOKUP($B$2,Grades!A:BU,73,FALSE)&amp;":"&amp;VLOOKUP($B$2,Grades!A:BU,73,FALSE))))</f>
        <v/>
      </c>
      <c r="D19" s="82" t="str">
        <f ca="1">IF(B19="","",IF(AND(VLOOKUP($B$2,Grades!$A:$BS,71,0)="Y",B19&lt;8),VLOOKUP($B19,Thresholds_Rates!$I$15:$J$19,2,FALSE),"-"))</f>
        <v/>
      </c>
      <c r="E19" s="81"/>
      <c r="F19" s="81" t="str">
        <f ca="1">IF($B19="","",IF(SUMIF(Grades!$A:$A,$B$2,Grades!$BO:$BO)=0,"-",IF(AND(VLOOKUP($B$2,Grades!$A:$BV,74,FALSE)="YES",B19&lt;Thresholds_Rates!$C$16),"-",$C19*Thresholds_Rates!$F$15)))</f>
        <v/>
      </c>
      <c r="G19" s="81" t="str">
        <f ca="1">IF(B19="","",IF(OR($B$2="Salary Points 3 to 57",$B$2="Salary Points 3 to 57 (post-pay award)"),"-",IF(SUMIF(Grades!$A:$A,$B$2,Grades!$BP:$BP)=0,"-",$C19*Thresholds_Rates!$F$16)))</f>
        <v/>
      </c>
      <c r="H19" s="81" t="str">
        <f ca="1">IF(B19="","",IF($B$2="Apprenticeship","-",IF(SUMIF(Grades!$A:$A,$B$2,Grades!$BQ:$BQ)=0,"-",IF(AND(VLOOKUP($B$2,Grades!$A:$BW,75,FALSE)="YES",B19&gt;Thresholds_Rates!$C$17),"-",$C19*Thresholds_Rates!$F$17))))</f>
        <v/>
      </c>
      <c r="I19" s="81" t="str">
        <f ca="1">IF($B19="","",IF($C19=0,0,ROUND(($C19-(Thresholds_Rates!$C$5*12))*Thresholds_Rates!$C$10,0)))</f>
        <v/>
      </c>
      <c r="J19" s="81" t="str">
        <f ca="1">IF(B19="","",(C19*Thresholds_Rates!$C$12))</f>
        <v/>
      </c>
      <c r="K19" s="81" t="str">
        <f ca="1">IF(B19="","",IF(SUMIF(Grades!$A:$A,$B$2,Grades!$BR:$BR)=0,"-",IF(AND(VLOOKUP($B$2,Grades!$A:$BW,75,FALSE)="YES",B19&gt;Thresholds_Rates!$C$17),"-",$C19*Thresholds_Rates!$F$18)))</f>
        <v/>
      </c>
      <c r="L19" s="68"/>
      <c r="M19" s="81" t="str">
        <f t="shared" ca="1" si="1"/>
        <v/>
      </c>
      <c r="N19" s="81" t="str">
        <f t="shared" ca="1" si="2"/>
        <v/>
      </c>
      <c r="O19" s="81" t="str">
        <f t="shared" ca="1" si="3"/>
        <v/>
      </c>
      <c r="P19" s="81" t="str">
        <f t="shared" ca="1" si="4"/>
        <v/>
      </c>
      <c r="Q19" s="81" t="str">
        <f t="shared" ca="1" si="5"/>
        <v/>
      </c>
      <c r="S19" s="83" t="str">
        <f ca="1">IF(B19="","",IF($B$2="R&amp;T Level 5 - Clinical Lecturers (Vet School)",SUMIF('Points Lookup'!$V:$V,$B19,'Points Lookup'!$W:$W),IF($B$2="R&amp;T Level 6 - Clinical Associate Professors and Clinical Readers (Vet School)",SUMIF('Points Lookup'!$AC:$AC,$B19,'Points Lookup'!$AD:$AD),"")))</f>
        <v/>
      </c>
      <c r="T19" s="84" t="str">
        <f ca="1">IF(B19="","",IF($B$2="R&amp;T Level 5 - Clinical Lecturers (Vet School)",$C19-SUMIF('Points Lookup'!$V:$V,$B19,'Points Lookup'!$X:$X),IF($B$2="R&amp;T Level 6 - Clinical Associate Professors and Clinical Readers (Vet School)",$C19-SUMIF('Points Lookup'!$AC:$AC,$B19,'Points Lookup'!$AE:$AE),"")))</f>
        <v/>
      </c>
      <c r="U19" s="83" t="str">
        <f ca="1">IF(B19="","",IF($B$2="R&amp;T Level 5 - Clinical Lecturers (Vet School)",SUMIF('Points Lookup'!$V:$V,$B19,'Points Lookup'!$Z:$Z),IF($B$2="R&amp;T Level 6 - Clinical Associate Professors and Clinical Readers (Vet School)",SUMIF('Points Lookup'!$AC:$AC,$B19,'Points Lookup'!$AG:$AG),"")))</f>
        <v/>
      </c>
      <c r="V19" s="84" t="str">
        <f t="shared" ca="1" si="0"/>
        <v/>
      </c>
      <c r="AA19" s="174">
        <v>13</v>
      </c>
    </row>
    <row r="20" spans="2:27" x14ac:dyDescent="0.25">
      <c r="B20" s="68" t="str">
        <f ca="1">IFERROR(INDEX('Points Lookup'!$A:$A,MATCH($AA20,'Points Lookup'!$AN:$AN,0)),"")</f>
        <v/>
      </c>
      <c r="C20" s="81" t="str">
        <f ca="1">IF(B20="","",SUMIF(INDIRECT("'Points Lookup'!"&amp;VLOOKUP($B$2,Grades!A:BU,72,FALSE)&amp;":"&amp;VLOOKUP($B$2,Grades!A:BU,72,FALSE)),B20,INDIRECT("'Points Lookup'!"&amp;VLOOKUP($B$2,Grades!A:BU,73,FALSE)&amp;":"&amp;VLOOKUP($B$2,Grades!A:BU,73,FALSE))))</f>
        <v/>
      </c>
      <c r="D20" s="82" t="str">
        <f ca="1">IF(B20="","",IF(AND(VLOOKUP($B$2,Grades!$A:$BS,71,0)="Y",B20&lt;8),VLOOKUP($B20,Thresholds_Rates!$I$15:$J$19,2,FALSE),"-"))</f>
        <v/>
      </c>
      <c r="E20" s="81"/>
      <c r="F20" s="81" t="str">
        <f ca="1">IF($B20="","",IF(SUMIF(Grades!$A:$A,$B$2,Grades!$BO:$BO)=0,"-",IF(AND(VLOOKUP($B$2,Grades!$A:$BV,74,FALSE)="YES",B20&lt;Thresholds_Rates!$C$16),"-",$C20*Thresholds_Rates!$F$15)))</f>
        <v/>
      </c>
      <c r="G20" s="81" t="str">
        <f ca="1">IF(B20="","",IF(OR($B$2="Salary Points 3 to 57",$B$2="Salary Points 3 to 57 (post-pay award)"),"-",IF(SUMIF(Grades!$A:$A,$B$2,Grades!$BP:$BP)=0,"-",$C20*Thresholds_Rates!$F$16)))</f>
        <v/>
      </c>
      <c r="H20" s="81" t="str">
        <f ca="1">IF(B20="","",IF($B$2="Apprenticeship","-",IF(SUMIF(Grades!$A:$A,$B$2,Grades!$BQ:$BQ)=0,"-",IF(AND(VLOOKUP($B$2,Grades!$A:$BW,75,FALSE)="YES",B20&gt;Thresholds_Rates!$C$17),"-",$C20*Thresholds_Rates!$F$17))))</f>
        <v/>
      </c>
      <c r="I20" s="81" t="str">
        <f ca="1">IF($B20="","",IF($C20=0,0,ROUND(($C20-(Thresholds_Rates!$C$5*12))*Thresholds_Rates!$C$10,0)))</f>
        <v/>
      </c>
      <c r="J20" s="81" t="str">
        <f ca="1">IF(B20="","",(C20*Thresholds_Rates!$C$12))</f>
        <v/>
      </c>
      <c r="K20" s="81" t="str">
        <f ca="1">IF(B20="","",IF(SUMIF(Grades!$A:$A,$B$2,Grades!$BR:$BR)=0,"-",IF(AND(VLOOKUP($B$2,Grades!$A:$BW,75,FALSE)="YES",B20&gt;Thresholds_Rates!$C$17),"-",$C20*Thresholds_Rates!$F$18)))</f>
        <v/>
      </c>
      <c r="L20" s="68"/>
      <c r="M20" s="81" t="str">
        <f t="shared" ca="1" si="1"/>
        <v/>
      </c>
      <c r="N20" s="81" t="str">
        <f t="shared" ca="1" si="2"/>
        <v/>
      </c>
      <c r="O20" s="81" t="str">
        <f t="shared" ca="1" si="3"/>
        <v/>
      </c>
      <c r="P20" s="81" t="str">
        <f t="shared" ca="1" si="4"/>
        <v/>
      </c>
      <c r="Q20" s="81" t="str">
        <f t="shared" ca="1" si="5"/>
        <v/>
      </c>
      <c r="S20" s="83" t="str">
        <f ca="1">IF(B20="","",IF($B$2="R&amp;T Level 5 - Clinical Lecturers (Vet School)",SUMIF('Points Lookup'!$V:$V,$B20,'Points Lookup'!$W:$W),IF($B$2="R&amp;T Level 6 - Clinical Associate Professors and Clinical Readers (Vet School)",SUMIF('Points Lookup'!$AC:$AC,$B20,'Points Lookup'!$AD:$AD),"")))</f>
        <v/>
      </c>
      <c r="T20" s="84" t="str">
        <f ca="1">IF(B20="","",IF($B$2="R&amp;T Level 5 - Clinical Lecturers (Vet School)",$C20-SUMIF('Points Lookup'!$V:$V,$B20,'Points Lookup'!$X:$X),IF($B$2="R&amp;T Level 6 - Clinical Associate Professors and Clinical Readers (Vet School)",$C20-SUMIF('Points Lookup'!$AC:$AC,$B20,'Points Lookup'!$AE:$AE),"")))</f>
        <v/>
      </c>
      <c r="U20" s="83" t="str">
        <f ca="1">IF(B20="","",IF($B$2="R&amp;T Level 5 - Clinical Lecturers (Vet School)",SUMIF('Points Lookup'!$V:$V,$B20,'Points Lookup'!$Z:$Z),IF($B$2="R&amp;T Level 6 - Clinical Associate Professors and Clinical Readers (Vet School)",SUMIF('Points Lookup'!$AC:$AC,$B20,'Points Lookup'!$AG:$AG),"")))</f>
        <v/>
      </c>
      <c r="V20" s="84" t="str">
        <f t="shared" ca="1" si="0"/>
        <v/>
      </c>
      <c r="AA20" s="174">
        <v>14</v>
      </c>
    </row>
    <row r="21" spans="2:27" x14ac:dyDescent="0.25">
      <c r="B21" s="68" t="str">
        <f ca="1">IFERROR(INDEX('Points Lookup'!$A:$A,MATCH($AA21,'Points Lookup'!$AN:$AN,0)),"")</f>
        <v/>
      </c>
      <c r="C21" s="81" t="str">
        <f ca="1">IF(B21="","",SUMIF(INDIRECT("'Points Lookup'!"&amp;VLOOKUP($B$2,Grades!A:BU,72,FALSE)&amp;":"&amp;VLOOKUP($B$2,Grades!A:BU,72,FALSE)),B21,INDIRECT("'Points Lookup'!"&amp;VLOOKUP($B$2,Grades!A:BU,73,FALSE)&amp;":"&amp;VLOOKUP($B$2,Grades!A:BU,73,FALSE))))</f>
        <v/>
      </c>
      <c r="D21" s="82" t="str">
        <f ca="1">IF(B21="","",IF(AND(VLOOKUP($B$2,Grades!$A:$BS,71,0)="Y",B21&lt;8),VLOOKUP($B21,Thresholds_Rates!$I$15:$J$19,2,FALSE),"-"))</f>
        <v/>
      </c>
      <c r="E21" s="81"/>
      <c r="F21" s="81" t="str">
        <f ca="1">IF($B21="","",IF(SUMIF(Grades!$A:$A,$B$2,Grades!$BO:$BO)=0,"-",IF(AND(VLOOKUP($B$2,Grades!$A:$BV,74,FALSE)="YES",B21&lt;Thresholds_Rates!$C$16),"-",$C21*Thresholds_Rates!$F$15)))</f>
        <v/>
      </c>
      <c r="G21" s="81" t="str">
        <f ca="1">IF(B21="","",IF(OR($B$2="Salary Points 3 to 57",$B$2="Salary Points 3 to 57 (post-pay award)"),"-",IF(SUMIF(Grades!$A:$A,$B$2,Grades!$BP:$BP)=0,"-",$C21*Thresholds_Rates!$F$16)))</f>
        <v/>
      </c>
      <c r="H21" s="81" t="str">
        <f ca="1">IF(B21="","",IF($B$2="Apprenticeship","-",IF(SUMIF(Grades!$A:$A,$B$2,Grades!$BQ:$BQ)=0,"-",IF(AND(VLOOKUP($B$2,Grades!$A:$BW,75,FALSE)="YES",B21&gt;Thresholds_Rates!$C$17),"-",$C21*Thresholds_Rates!$F$17))))</f>
        <v/>
      </c>
      <c r="I21" s="81" t="str">
        <f ca="1">IF($B21="","",IF($C21=0,0,ROUND(($C21-(Thresholds_Rates!$C$5*12))*Thresholds_Rates!$C$10,0)))</f>
        <v/>
      </c>
      <c r="J21" s="81" t="str">
        <f ca="1">IF(B21="","",(C21*Thresholds_Rates!$C$12))</f>
        <v/>
      </c>
      <c r="K21" s="81" t="str">
        <f ca="1">IF(B21="","",IF(SUMIF(Grades!$A:$A,$B$2,Grades!$BR:$BR)=0,"-",IF(AND(VLOOKUP($B$2,Grades!$A:$BW,75,FALSE)="YES",B21&gt;Thresholds_Rates!$C$17),"-",$C21*Thresholds_Rates!$F$18)))</f>
        <v/>
      </c>
      <c r="L21" s="68"/>
      <c r="M21" s="81" t="str">
        <f t="shared" ca="1" si="1"/>
        <v/>
      </c>
      <c r="N21" s="81" t="str">
        <f t="shared" ca="1" si="2"/>
        <v/>
      </c>
      <c r="O21" s="81" t="str">
        <f t="shared" ca="1" si="3"/>
        <v/>
      </c>
      <c r="P21" s="81" t="str">
        <f t="shared" ca="1" si="4"/>
        <v/>
      </c>
      <c r="Q21" s="81" t="str">
        <f t="shared" ca="1" si="5"/>
        <v/>
      </c>
      <c r="S21" s="83" t="str">
        <f ca="1">IF(B21="","",IF($B$2="R&amp;T Level 5 - Clinical Lecturers (Vet School)",SUMIF('Points Lookup'!$V:$V,$B21,'Points Lookup'!$W:$W),IF($B$2="R&amp;T Level 6 - Clinical Associate Professors and Clinical Readers (Vet School)",SUMIF('Points Lookup'!$AC:$AC,$B21,'Points Lookup'!$AD:$AD),"")))</f>
        <v/>
      </c>
      <c r="T21" s="84" t="str">
        <f ca="1">IF(B21="","",IF($B$2="R&amp;T Level 5 - Clinical Lecturers (Vet School)",$C21-SUMIF('Points Lookup'!$V:$V,$B21,'Points Lookup'!$X:$X),IF($B$2="R&amp;T Level 6 - Clinical Associate Professors and Clinical Readers (Vet School)",$C21-SUMIF('Points Lookup'!$AC:$AC,$B21,'Points Lookup'!$AE:$AE),"")))</f>
        <v/>
      </c>
      <c r="U21" s="83" t="str">
        <f ca="1">IF(B21="","",IF($B$2="R&amp;T Level 5 - Clinical Lecturers (Vet School)",SUMIF('Points Lookup'!$V:$V,$B21,'Points Lookup'!$Z:$Z),IF($B$2="R&amp;T Level 6 - Clinical Associate Professors and Clinical Readers (Vet School)",SUMIF('Points Lookup'!$AC:$AC,$B21,'Points Lookup'!$AG:$AG),"")))</f>
        <v/>
      </c>
      <c r="V21" s="84" t="str">
        <f t="shared" ca="1" si="0"/>
        <v/>
      </c>
      <c r="AA21" s="174">
        <v>15</v>
      </c>
    </row>
    <row r="22" spans="2:27" x14ac:dyDescent="0.25">
      <c r="B22" s="68" t="str">
        <f ca="1">IFERROR(INDEX('Points Lookup'!$A:$A,MATCH($AA22,'Points Lookup'!$AN:$AN,0)),"")</f>
        <v/>
      </c>
      <c r="C22" s="81" t="str">
        <f ca="1">IF(B22="","",SUMIF(INDIRECT("'Points Lookup'!"&amp;VLOOKUP($B$2,Grades!A:BU,72,FALSE)&amp;":"&amp;VLOOKUP($B$2,Grades!A:BU,72,FALSE)),B22,INDIRECT("'Points Lookup'!"&amp;VLOOKUP($B$2,Grades!A:BU,73,FALSE)&amp;":"&amp;VLOOKUP($B$2,Grades!A:BU,73,FALSE))))</f>
        <v/>
      </c>
      <c r="D22" s="82" t="str">
        <f ca="1">IF(B22="","",IF(AND(VLOOKUP($B$2,Grades!$A:$BS,71,0)="Y",B22&lt;8),VLOOKUP($B22,Thresholds_Rates!$I$15:$J$19,2,FALSE),"-"))</f>
        <v/>
      </c>
      <c r="E22" s="81"/>
      <c r="F22" s="81" t="str">
        <f ca="1">IF($B22="","",IF(SUMIF(Grades!$A:$A,$B$2,Grades!$BO:$BO)=0,"-",IF(AND(VLOOKUP($B$2,Grades!$A:$BV,74,FALSE)="YES",B22&lt;Thresholds_Rates!$C$16),"-",$C22*Thresholds_Rates!$F$15)))</f>
        <v/>
      </c>
      <c r="G22" s="81" t="str">
        <f ca="1">IF(B22="","",IF(OR($B$2="Salary Points 3 to 57",$B$2="Salary Points 3 to 57 (post-pay award)"),"-",IF(SUMIF(Grades!$A:$A,$B$2,Grades!$BP:$BP)=0,"-",$C22*Thresholds_Rates!$F$16)))</f>
        <v/>
      </c>
      <c r="H22" s="81" t="str">
        <f ca="1">IF(B22="","",IF($B$2="Apprenticeship","-",IF(SUMIF(Grades!$A:$A,$B$2,Grades!$BQ:$BQ)=0,"-",IF(AND(VLOOKUP($B$2,Grades!$A:$BW,75,FALSE)="YES",B22&gt;Thresholds_Rates!$C$17),"-",$C22*Thresholds_Rates!$F$17))))</f>
        <v/>
      </c>
      <c r="I22" s="81" t="str">
        <f ca="1">IF($B22="","",IF($C22=0,0,ROUND(($C22-(Thresholds_Rates!$C$5*12))*Thresholds_Rates!$C$10,0)))</f>
        <v/>
      </c>
      <c r="J22" s="81" t="str">
        <f ca="1">IF(B22="","",(C22*Thresholds_Rates!$C$12))</f>
        <v/>
      </c>
      <c r="K22" s="81" t="str">
        <f ca="1">IF(B22="","",IF(SUMIF(Grades!$A:$A,$B$2,Grades!$BR:$BR)=0,"-",IF(AND(VLOOKUP($B$2,Grades!$A:$BW,75,FALSE)="YES",B22&gt;Thresholds_Rates!$C$17),"-",$C22*Thresholds_Rates!$F$18)))</f>
        <v/>
      </c>
      <c r="L22" s="68"/>
      <c r="M22" s="81" t="str">
        <f t="shared" ca="1" si="1"/>
        <v/>
      </c>
      <c r="N22" s="81" t="str">
        <f t="shared" ca="1" si="2"/>
        <v/>
      </c>
      <c r="O22" s="81" t="str">
        <f t="shared" ca="1" si="3"/>
        <v/>
      </c>
      <c r="P22" s="81" t="str">
        <f t="shared" ca="1" si="4"/>
        <v/>
      </c>
      <c r="Q22" s="81" t="str">
        <f t="shared" ca="1" si="5"/>
        <v/>
      </c>
      <c r="S22" s="83" t="str">
        <f ca="1">IF(B22="","",IF($B$2="R&amp;T Level 5 - Clinical Lecturers (Vet School)",SUMIF('Points Lookup'!$V:$V,$B22,'Points Lookup'!$W:$W),IF($B$2="R&amp;T Level 6 - Clinical Associate Professors and Clinical Readers (Vet School)",SUMIF('Points Lookup'!$AC:$AC,$B22,'Points Lookup'!$AD:$AD),"")))</f>
        <v/>
      </c>
      <c r="T22" s="84" t="str">
        <f ca="1">IF(B22="","",IF($B$2="R&amp;T Level 5 - Clinical Lecturers (Vet School)",$C22-SUMIF('Points Lookup'!$V:$V,$B22,'Points Lookup'!$X:$X),IF($B$2="R&amp;T Level 6 - Clinical Associate Professors and Clinical Readers (Vet School)",$C22-SUMIF('Points Lookup'!$AC:$AC,$B22,'Points Lookup'!$AE:$AE),"")))</f>
        <v/>
      </c>
      <c r="U22" s="83" t="str">
        <f ca="1">IF(B22="","",IF($B$2="R&amp;T Level 5 - Clinical Lecturers (Vet School)",SUMIF('Points Lookup'!$V:$V,$B22,'Points Lookup'!$Z:$Z),IF($B$2="R&amp;T Level 6 - Clinical Associate Professors and Clinical Readers (Vet School)",SUMIF('Points Lookup'!$AC:$AC,$B22,'Points Lookup'!$AG:$AG),"")))</f>
        <v/>
      </c>
      <c r="V22" s="84" t="str">
        <f t="shared" ca="1" si="0"/>
        <v/>
      </c>
      <c r="AA22" s="174">
        <v>16</v>
      </c>
    </row>
    <row r="23" spans="2:27" x14ac:dyDescent="0.25">
      <c r="B23" s="68" t="str">
        <f ca="1">IFERROR(INDEX('Points Lookup'!$A:$A,MATCH($AA23,'Points Lookup'!$AN:$AN,0)),"")</f>
        <v/>
      </c>
      <c r="C23" s="81" t="str">
        <f ca="1">IF(B23="","",SUMIF(INDIRECT("'Points Lookup'!"&amp;VLOOKUP($B$2,Grades!A:BU,72,FALSE)&amp;":"&amp;VLOOKUP($B$2,Grades!A:BU,72,FALSE)),B23,INDIRECT("'Points Lookup'!"&amp;VLOOKUP($B$2,Grades!A:BU,73,FALSE)&amp;":"&amp;VLOOKUP($B$2,Grades!A:BU,73,FALSE))))</f>
        <v/>
      </c>
      <c r="D23" s="82" t="str">
        <f ca="1">IF(B23="","",IF(AND(VLOOKUP($B$2,Grades!$A:$BS,71,0)="Y",B23&lt;8),VLOOKUP($B23,Thresholds_Rates!$I$15:$J$19,2,FALSE),"-"))</f>
        <v/>
      </c>
      <c r="E23" s="81"/>
      <c r="F23" s="81" t="str">
        <f ca="1">IF($B23="","",IF(SUMIF(Grades!$A:$A,$B$2,Grades!$BO:$BO)=0,"-",IF(AND(VLOOKUP($B$2,Grades!$A:$BV,74,FALSE)="YES",B23&lt;Thresholds_Rates!$C$16),"-",$C23*Thresholds_Rates!$F$15)))</f>
        <v/>
      </c>
      <c r="G23" s="81" t="str">
        <f ca="1">IF(B23="","",IF(OR($B$2="Salary Points 3 to 57",$B$2="Salary Points 3 to 57 (post-pay award)"),"-",IF(SUMIF(Grades!$A:$A,$B$2,Grades!$BP:$BP)=0,"-",$C23*Thresholds_Rates!$F$16)))</f>
        <v/>
      </c>
      <c r="H23" s="81" t="str">
        <f ca="1">IF(B23="","",IF($B$2="Apprenticeship","-",IF(SUMIF(Grades!$A:$A,$B$2,Grades!$BQ:$BQ)=0,"-",IF(AND(VLOOKUP($B$2,Grades!$A:$BW,75,FALSE)="YES",B23&gt;Thresholds_Rates!$C$17),"-",$C23*Thresholds_Rates!$F$17))))</f>
        <v/>
      </c>
      <c r="I23" s="81" t="str">
        <f ca="1">IF($B23="","",IF($C23=0,0,ROUND(($C23-(Thresholds_Rates!$C$5*12))*Thresholds_Rates!$C$10,0)))</f>
        <v/>
      </c>
      <c r="J23" s="81" t="str">
        <f ca="1">IF(B23="","",(C23*Thresholds_Rates!$C$12))</f>
        <v/>
      </c>
      <c r="K23" s="81" t="str">
        <f ca="1">IF(B23="","",IF(SUMIF(Grades!$A:$A,$B$2,Grades!$BR:$BR)=0,"-",IF(AND(VLOOKUP($B$2,Grades!$A:$BW,75,FALSE)="YES",B23&gt;Thresholds_Rates!$C$17),"-",$C23*Thresholds_Rates!$F$18)))</f>
        <v/>
      </c>
      <c r="L23" s="68"/>
      <c r="M23" s="81" t="str">
        <f t="shared" ca="1" si="1"/>
        <v/>
      </c>
      <c r="N23" s="81" t="str">
        <f t="shared" ca="1" si="2"/>
        <v/>
      </c>
      <c r="O23" s="81" t="str">
        <f t="shared" ca="1" si="3"/>
        <v/>
      </c>
      <c r="P23" s="81" t="str">
        <f t="shared" ca="1" si="4"/>
        <v/>
      </c>
      <c r="Q23" s="81" t="str">
        <f t="shared" ca="1" si="5"/>
        <v/>
      </c>
      <c r="S23" s="83" t="str">
        <f ca="1">IF(B23="","",IF($B$2="R&amp;T Level 5 - Clinical Lecturers (Vet School)",SUMIF('Points Lookup'!$V:$V,$B23,'Points Lookup'!$W:$W),IF($B$2="R&amp;T Level 6 - Clinical Associate Professors and Clinical Readers (Vet School)",SUMIF('Points Lookup'!$AC:$AC,$B23,'Points Lookup'!$AD:$AD),"")))</f>
        <v/>
      </c>
      <c r="T23" s="84" t="str">
        <f ca="1">IF(B23="","",IF($B$2="R&amp;T Level 5 - Clinical Lecturers (Vet School)",$C23-SUMIF('Points Lookup'!$V:$V,$B23,'Points Lookup'!$X:$X),IF($B$2="R&amp;T Level 6 - Clinical Associate Professors and Clinical Readers (Vet School)",$C23-SUMIF('Points Lookup'!$AC:$AC,$B23,'Points Lookup'!$AE:$AE),"")))</f>
        <v/>
      </c>
      <c r="U23" s="83" t="str">
        <f ca="1">IF(B23="","",IF($B$2="R&amp;T Level 5 - Clinical Lecturers (Vet School)",SUMIF('Points Lookup'!$V:$V,$B23,'Points Lookup'!$Z:$Z),IF($B$2="R&amp;T Level 6 - Clinical Associate Professors and Clinical Readers (Vet School)",SUMIF('Points Lookup'!$AC:$AC,$B23,'Points Lookup'!$AG:$AG),"")))</f>
        <v/>
      </c>
      <c r="V23" s="84" t="str">
        <f t="shared" ca="1" si="0"/>
        <v/>
      </c>
      <c r="AA23" s="174">
        <v>17</v>
      </c>
    </row>
    <row r="24" spans="2:27" x14ac:dyDescent="0.25">
      <c r="B24" s="68" t="str">
        <f ca="1">IFERROR(INDEX('Points Lookup'!$A:$A,MATCH($AA24,'Points Lookup'!$AN:$AN,0)),"")</f>
        <v/>
      </c>
      <c r="C24" s="81" t="str">
        <f ca="1">IF(B24="","",SUMIF(INDIRECT("'Points Lookup'!"&amp;VLOOKUP($B$2,Grades!A:BU,72,FALSE)&amp;":"&amp;VLOOKUP($B$2,Grades!A:BU,72,FALSE)),B24,INDIRECT("'Points Lookup'!"&amp;VLOOKUP($B$2,Grades!A:BU,73,FALSE)&amp;":"&amp;VLOOKUP($B$2,Grades!A:BU,73,FALSE))))</f>
        <v/>
      </c>
      <c r="D24" s="82" t="str">
        <f ca="1">IF(B24="","",IF(AND(VLOOKUP($B$2,Grades!$A:$BS,71,0)="Y",B24&lt;8),VLOOKUP($B24,Thresholds_Rates!$I$15:$J$19,2,FALSE),"-"))</f>
        <v/>
      </c>
      <c r="E24" s="81"/>
      <c r="F24" s="81" t="str">
        <f ca="1">IF($B24="","",IF(SUMIF(Grades!$A:$A,$B$2,Grades!$BO:$BO)=0,"-",IF(AND(VLOOKUP($B$2,Grades!$A:$BV,74,FALSE)="YES",B24&lt;Thresholds_Rates!$C$16),"-",$C24*Thresholds_Rates!$F$15)))</f>
        <v/>
      </c>
      <c r="G24" s="81" t="str">
        <f ca="1">IF(B24="","",IF(OR($B$2="Salary Points 3 to 57",$B$2="Salary Points 3 to 57 (post-pay award)"),"-",IF(SUMIF(Grades!$A:$A,$B$2,Grades!$BP:$BP)=0,"-",$C24*Thresholds_Rates!$F$16)))</f>
        <v/>
      </c>
      <c r="H24" s="81" t="str">
        <f ca="1">IF(B24="","",IF($B$2="Apprenticeship","-",IF(SUMIF(Grades!$A:$A,$B$2,Grades!$BQ:$BQ)=0,"-",IF(AND(VLOOKUP($B$2,Grades!$A:$BW,75,FALSE)="YES",B24&gt;Thresholds_Rates!$C$17),"-",$C24*Thresholds_Rates!$F$17))))</f>
        <v/>
      </c>
      <c r="I24" s="81" t="str">
        <f ca="1">IF($B24="","",IF($C24=0,0,ROUND(($C24-(Thresholds_Rates!$C$5*12))*Thresholds_Rates!$C$10,0)))</f>
        <v/>
      </c>
      <c r="J24" s="81" t="str">
        <f ca="1">IF(B24="","",(C24*Thresholds_Rates!$C$12))</f>
        <v/>
      </c>
      <c r="K24" s="81" t="str">
        <f ca="1">IF(B24="","",IF(SUMIF(Grades!$A:$A,$B$2,Grades!$BR:$BR)=0,"-",IF(AND(VLOOKUP($B$2,Grades!$A:$BW,75,FALSE)="YES",B24&gt;Thresholds_Rates!$C$17),"-",$C24*Thresholds_Rates!$F$18)))</f>
        <v/>
      </c>
      <c r="L24" s="68"/>
      <c r="M24" s="81" t="str">
        <f t="shared" ca="1" si="1"/>
        <v/>
      </c>
      <c r="N24" s="81" t="str">
        <f t="shared" ca="1" si="2"/>
        <v/>
      </c>
      <c r="O24" s="81" t="str">
        <f t="shared" ca="1" si="3"/>
        <v/>
      </c>
      <c r="P24" s="81" t="str">
        <f t="shared" ca="1" si="4"/>
        <v/>
      </c>
      <c r="Q24" s="81" t="str">
        <f t="shared" ca="1" si="5"/>
        <v/>
      </c>
      <c r="S24" s="83" t="str">
        <f ca="1">IF(B24="","",IF($B$2="R&amp;T Level 5 - Clinical Lecturers (Vet School)",SUMIF('Points Lookup'!$V:$V,$B24,'Points Lookup'!$W:$W),IF($B$2="R&amp;T Level 6 - Clinical Associate Professors and Clinical Readers (Vet School)",SUMIF('Points Lookup'!$AC:$AC,$B24,'Points Lookup'!$AD:$AD),"")))</f>
        <v/>
      </c>
      <c r="T24" s="84" t="str">
        <f ca="1">IF(B24="","",IF($B$2="R&amp;T Level 5 - Clinical Lecturers (Vet School)",$C24-SUMIF('Points Lookup'!$V:$V,$B24,'Points Lookup'!$X:$X),IF($B$2="R&amp;T Level 6 - Clinical Associate Professors and Clinical Readers (Vet School)",$C24-SUMIF('Points Lookup'!$AC:$AC,$B24,'Points Lookup'!$AE:$AE),"")))</f>
        <v/>
      </c>
      <c r="U24" s="83" t="str">
        <f ca="1">IF(B24="","",IF($B$2="R&amp;T Level 5 - Clinical Lecturers (Vet School)",SUMIF('Points Lookup'!$V:$V,$B24,'Points Lookup'!$Z:$Z),IF($B$2="R&amp;T Level 6 - Clinical Associate Professors and Clinical Readers (Vet School)",SUMIF('Points Lookup'!$AC:$AC,$B24,'Points Lookup'!$AG:$AG),"")))</f>
        <v/>
      </c>
      <c r="V24" s="84" t="str">
        <f t="shared" ca="1" si="0"/>
        <v/>
      </c>
      <c r="AA24" s="174">
        <v>18</v>
      </c>
    </row>
    <row r="25" spans="2:27" x14ac:dyDescent="0.25">
      <c r="B25" s="68" t="str">
        <f ca="1">IFERROR(INDEX('Points Lookup'!$A:$A,MATCH($AA25,'Points Lookup'!$AN:$AN,0)),"")</f>
        <v/>
      </c>
      <c r="C25" s="81" t="str">
        <f ca="1">IF(B25="","",SUMIF(INDIRECT("'Points Lookup'!"&amp;VLOOKUP($B$2,Grades!A:BU,72,FALSE)&amp;":"&amp;VLOOKUP($B$2,Grades!A:BU,72,FALSE)),B25,INDIRECT("'Points Lookup'!"&amp;VLOOKUP($B$2,Grades!A:BU,73,FALSE)&amp;":"&amp;VLOOKUP($B$2,Grades!A:BU,73,FALSE))))</f>
        <v/>
      </c>
      <c r="D25" s="82" t="str">
        <f ca="1">IF(B25="","",IF(AND(VLOOKUP($B$2,Grades!$A:$BS,71,0)="Y",B25&lt;8),VLOOKUP($B25,Thresholds_Rates!$I$15:$J$19,2,FALSE),"-"))</f>
        <v/>
      </c>
      <c r="E25" s="81"/>
      <c r="F25" s="81" t="str">
        <f ca="1">IF($B25="","",IF(SUMIF(Grades!$A:$A,$B$2,Grades!$BO:$BO)=0,"-",IF(AND(VLOOKUP($B$2,Grades!$A:$BV,74,FALSE)="YES",B25&lt;Thresholds_Rates!$C$16),"-",$C25*Thresholds_Rates!$F$15)))</f>
        <v/>
      </c>
      <c r="G25" s="81" t="str">
        <f ca="1">IF(B25="","",IF(OR($B$2="Salary Points 3 to 57",$B$2="Salary Points 3 to 57 (post-pay award)"),"-",IF(SUMIF(Grades!$A:$A,$B$2,Grades!$BP:$BP)=0,"-",$C25*Thresholds_Rates!$F$16)))</f>
        <v/>
      </c>
      <c r="H25" s="81" t="str">
        <f ca="1">IF(B25="","",IF($B$2="Apprenticeship","-",IF(SUMIF(Grades!$A:$A,$B$2,Grades!$BQ:$BQ)=0,"-",IF(AND(VLOOKUP($B$2,Grades!$A:$BW,75,FALSE)="YES",B25&gt;Thresholds_Rates!$C$17),"-",$C25*Thresholds_Rates!$F$17))))</f>
        <v/>
      </c>
      <c r="I25" s="81" t="str">
        <f ca="1">IF($B25="","",IF($C25=0,0,ROUND(($C25-(Thresholds_Rates!$C$5*12))*Thresholds_Rates!$C$10,0)))</f>
        <v/>
      </c>
      <c r="J25" s="81" t="str">
        <f ca="1">IF(B25="","",(C25*Thresholds_Rates!$C$12))</f>
        <v/>
      </c>
      <c r="K25" s="81" t="str">
        <f ca="1">IF(B25="","",IF(SUMIF(Grades!$A:$A,$B$2,Grades!$BR:$BR)=0,"-",IF(AND(VLOOKUP($B$2,Grades!$A:$BW,75,FALSE)="YES",B25&gt;Thresholds_Rates!$C$17),"-",$C25*Thresholds_Rates!$F$18)))</f>
        <v/>
      </c>
      <c r="L25" s="68"/>
      <c r="M25" s="81" t="str">
        <f t="shared" ca="1" si="1"/>
        <v/>
      </c>
      <c r="N25" s="81" t="str">
        <f t="shared" ca="1" si="2"/>
        <v/>
      </c>
      <c r="O25" s="81" t="str">
        <f t="shared" ca="1" si="3"/>
        <v/>
      </c>
      <c r="P25" s="81" t="str">
        <f t="shared" ca="1" si="4"/>
        <v/>
      </c>
      <c r="Q25" s="81" t="str">
        <f t="shared" ca="1" si="5"/>
        <v/>
      </c>
      <c r="S25" s="83" t="str">
        <f ca="1">IF(B25="","",IF($B$2="R&amp;T Level 5 - Clinical Lecturers (Vet School)",SUMIF('Points Lookup'!$V:$V,$B25,'Points Lookup'!$W:$W),IF($B$2="R&amp;T Level 6 - Clinical Associate Professors and Clinical Readers (Vet School)",SUMIF('Points Lookup'!$AC:$AC,$B25,'Points Lookup'!$AD:$AD),"")))</f>
        <v/>
      </c>
      <c r="T25" s="84" t="str">
        <f ca="1">IF(B25="","",IF($B$2="R&amp;T Level 5 - Clinical Lecturers (Vet School)",$C25-SUMIF('Points Lookup'!$V:$V,$B25,'Points Lookup'!$X:$X),IF($B$2="R&amp;T Level 6 - Clinical Associate Professors and Clinical Readers (Vet School)",$C25-SUMIF('Points Lookup'!$AC:$AC,$B25,'Points Lookup'!$AE:$AE),"")))</f>
        <v/>
      </c>
      <c r="U25" s="83" t="str">
        <f ca="1">IF(B25="","",IF($B$2="R&amp;T Level 5 - Clinical Lecturers (Vet School)",SUMIF('Points Lookup'!$V:$V,$B25,'Points Lookup'!$Z:$Z),IF($B$2="R&amp;T Level 6 - Clinical Associate Professors and Clinical Readers (Vet School)",SUMIF('Points Lookup'!$AC:$AC,$B25,'Points Lookup'!$AG:$AG),"")))</f>
        <v/>
      </c>
      <c r="V25" s="84" t="str">
        <f t="shared" ca="1" si="0"/>
        <v/>
      </c>
      <c r="AA25" s="174">
        <v>19</v>
      </c>
    </row>
    <row r="26" spans="2:27" x14ac:dyDescent="0.25">
      <c r="B26" s="68" t="str">
        <f ca="1">IFERROR(INDEX('Points Lookup'!$A:$A,MATCH($AA26,'Points Lookup'!$AN:$AN,0)),"")</f>
        <v/>
      </c>
      <c r="C26" s="81" t="str">
        <f ca="1">IF(B26="","",SUMIF(INDIRECT("'Points Lookup'!"&amp;VLOOKUP($B$2,Grades!A:BU,72,FALSE)&amp;":"&amp;VLOOKUP($B$2,Grades!A:BU,72,FALSE)),B26,INDIRECT("'Points Lookup'!"&amp;VLOOKUP($B$2,Grades!A:BU,73,FALSE)&amp;":"&amp;VLOOKUP($B$2,Grades!A:BU,73,FALSE))))</f>
        <v/>
      </c>
      <c r="D26" s="82" t="str">
        <f ca="1">IF(B26="","",IF(AND(VLOOKUP($B$2,Grades!$A:$BS,71,0)="Y",B26&lt;8),VLOOKUP($B26,Thresholds_Rates!$I$15:$J$19,2,FALSE),"-"))</f>
        <v/>
      </c>
      <c r="E26" s="81"/>
      <c r="F26" s="81" t="str">
        <f ca="1">IF($B26="","",IF(SUMIF(Grades!$A:$A,$B$2,Grades!$BO:$BO)=0,"-",IF(AND(VLOOKUP($B$2,Grades!$A:$BV,74,FALSE)="YES",B26&lt;Thresholds_Rates!$C$16),"-",$C26*Thresholds_Rates!$F$15)))</f>
        <v/>
      </c>
      <c r="G26" s="81" t="str">
        <f ca="1">IF(B26="","",IF(OR($B$2="Salary Points 3 to 57",$B$2="Salary Points 3 to 57 (post-pay award)"),"-",IF(SUMIF(Grades!$A:$A,$B$2,Grades!$BP:$BP)=0,"-",$C26*Thresholds_Rates!$F$16)))</f>
        <v/>
      </c>
      <c r="H26" s="81" t="str">
        <f ca="1">IF(B26="","",IF($B$2="Apprenticeship","-",IF(SUMIF(Grades!$A:$A,$B$2,Grades!$BQ:$BQ)=0,"-",IF(AND(VLOOKUP($B$2,Grades!$A:$BW,75,FALSE)="YES",B26&gt;Thresholds_Rates!$C$17),"-",$C26*Thresholds_Rates!$F$17))))</f>
        <v/>
      </c>
      <c r="I26" s="81" t="str">
        <f ca="1">IF($B26="","",IF($C26=0,0,ROUND(($C26-(Thresholds_Rates!$C$5*12))*Thresholds_Rates!$C$10,0)))</f>
        <v/>
      </c>
      <c r="J26" s="81" t="str">
        <f ca="1">IF(B26="","",(C26*Thresholds_Rates!$C$12))</f>
        <v/>
      </c>
      <c r="K26" s="81" t="str">
        <f ca="1">IF(B26="","",IF(SUMIF(Grades!$A:$A,$B$2,Grades!$BR:$BR)=0,"-",IF(AND(VLOOKUP($B$2,Grades!$A:$BW,75,FALSE)="YES",B26&gt;Thresholds_Rates!$C$17),"-",$C26*Thresholds_Rates!$F$18)))</f>
        <v/>
      </c>
      <c r="L26" s="68"/>
      <c r="M26" s="81" t="str">
        <f t="shared" ca="1" si="1"/>
        <v/>
      </c>
      <c r="N26" s="81" t="str">
        <f t="shared" ca="1" si="2"/>
        <v/>
      </c>
      <c r="O26" s="81" t="str">
        <f t="shared" ca="1" si="3"/>
        <v/>
      </c>
      <c r="P26" s="81" t="str">
        <f t="shared" ca="1" si="4"/>
        <v/>
      </c>
      <c r="Q26" s="81" t="str">
        <f t="shared" ca="1" si="5"/>
        <v/>
      </c>
      <c r="S26" s="83" t="str">
        <f ca="1">IF(B26="","",IF($B$2="R&amp;T Level 5 - Clinical Lecturers (Vet School)",SUMIF('Points Lookup'!$V:$V,$B26,'Points Lookup'!$W:$W),IF($B$2="R&amp;T Level 6 - Clinical Associate Professors and Clinical Readers (Vet School)",SUMIF('Points Lookup'!$AC:$AC,$B26,'Points Lookup'!$AD:$AD),"")))</f>
        <v/>
      </c>
      <c r="T26" s="84" t="str">
        <f ca="1">IF(B26="","",IF($B$2="R&amp;T Level 5 - Clinical Lecturers (Vet School)",$C26-SUMIF('Points Lookup'!$V:$V,$B26,'Points Lookup'!$X:$X),IF($B$2="R&amp;T Level 6 - Clinical Associate Professors and Clinical Readers (Vet School)",$C26-SUMIF('Points Lookup'!$AC:$AC,$B26,'Points Lookup'!$AE:$AE),"")))</f>
        <v/>
      </c>
      <c r="U26" s="83" t="str">
        <f ca="1">IF(B26="","",IF($B$2="R&amp;T Level 5 - Clinical Lecturers (Vet School)",SUMIF('Points Lookup'!$V:$V,$B26,'Points Lookup'!$Z:$Z),IF($B$2="R&amp;T Level 6 - Clinical Associate Professors and Clinical Readers (Vet School)",SUMIF('Points Lookup'!$AC:$AC,$B26,'Points Lookup'!$AG:$AG),"")))</f>
        <v/>
      </c>
      <c r="V26" s="84" t="str">
        <f t="shared" ca="1" si="0"/>
        <v/>
      </c>
      <c r="AA26" s="174">
        <v>20</v>
      </c>
    </row>
    <row r="27" spans="2:27" x14ac:dyDescent="0.25">
      <c r="B27" s="68" t="str">
        <f ca="1">IFERROR(INDEX('Points Lookup'!$A:$A,MATCH($AA27,'Points Lookup'!$AN:$AN,0)),"")</f>
        <v/>
      </c>
      <c r="C27" s="81" t="str">
        <f ca="1">IF(B27="","",SUMIF(INDIRECT("'Points Lookup'!"&amp;VLOOKUP($B$2,Grades!A:BU,72,FALSE)&amp;":"&amp;VLOOKUP($B$2,Grades!A:BU,72,FALSE)),B27,INDIRECT("'Points Lookup'!"&amp;VLOOKUP($B$2,Grades!A:BU,73,FALSE)&amp;":"&amp;VLOOKUP($B$2,Grades!A:BU,73,FALSE))))</f>
        <v/>
      </c>
      <c r="D27" s="82" t="str">
        <f ca="1">IF(B27="","",IF(AND(VLOOKUP($B$2,Grades!$A:$BS,71,0)="Y",B27&lt;8),VLOOKUP($B27,Thresholds_Rates!$I$15:$J$19,2,FALSE),"-"))</f>
        <v/>
      </c>
      <c r="E27" s="81"/>
      <c r="F27" s="81" t="str">
        <f ca="1">IF($B27="","",IF(SUMIF(Grades!$A:$A,$B$2,Grades!$BO:$BO)=0,"-",IF(AND(VLOOKUP($B$2,Grades!$A:$BV,74,FALSE)="YES",B27&lt;Thresholds_Rates!$C$16),"-",$C27*Thresholds_Rates!$F$15)))</f>
        <v/>
      </c>
      <c r="G27" s="81" t="str">
        <f ca="1">IF(B27="","",IF(OR($B$2="Salary Points 3 to 57",$B$2="Salary Points 3 to 57 (post-pay award)"),"-",IF(SUMIF(Grades!$A:$A,$B$2,Grades!$BP:$BP)=0,"-",$C27*Thresholds_Rates!$F$16)))</f>
        <v/>
      </c>
      <c r="H27" s="81" t="str">
        <f ca="1">IF(B27="","",IF($B$2="Apprenticeship","-",IF(SUMIF(Grades!$A:$A,$B$2,Grades!$BQ:$BQ)=0,"-",IF(AND(VLOOKUP($B$2,Grades!$A:$BW,75,FALSE)="YES",B27&gt;Thresholds_Rates!$C$17),"-",$C27*Thresholds_Rates!$F$17))))</f>
        <v/>
      </c>
      <c r="I27" s="81" t="str">
        <f ca="1">IF($B27="","",IF($C27=0,0,ROUND(($C27-(Thresholds_Rates!$C$5*12))*Thresholds_Rates!$C$10,0)))</f>
        <v/>
      </c>
      <c r="J27" s="81" t="str">
        <f ca="1">IF(B27="","",(C27*Thresholds_Rates!$C$12))</f>
        <v/>
      </c>
      <c r="K27" s="81" t="str">
        <f ca="1">IF(B27="","",IF(SUMIF(Grades!$A:$A,$B$2,Grades!$BR:$BR)=0,"-",IF(AND(VLOOKUP($B$2,Grades!$A:$BW,75,FALSE)="YES",B27&gt;Thresholds_Rates!$C$17),"-",$C27*Thresholds_Rates!$F$18)))</f>
        <v/>
      </c>
      <c r="L27" s="68"/>
      <c r="M27" s="81" t="str">
        <f t="shared" ca="1" si="1"/>
        <v/>
      </c>
      <c r="N27" s="81" t="str">
        <f t="shared" ca="1" si="2"/>
        <v/>
      </c>
      <c r="O27" s="81" t="str">
        <f t="shared" ca="1" si="3"/>
        <v/>
      </c>
      <c r="P27" s="81" t="str">
        <f t="shared" ca="1" si="4"/>
        <v/>
      </c>
      <c r="Q27" s="81" t="str">
        <f t="shared" ca="1" si="5"/>
        <v/>
      </c>
      <c r="S27" s="83" t="str">
        <f ca="1">IF(B27="","",IF($B$2="R&amp;T Level 5 - Clinical Lecturers (Vet School)",SUMIF('Points Lookup'!$V:$V,$B27,'Points Lookup'!$W:$W),IF($B$2="R&amp;T Level 6 - Clinical Associate Professors and Clinical Readers (Vet School)",SUMIF('Points Lookup'!$AC:$AC,$B27,'Points Lookup'!$AD:$AD),"")))</f>
        <v/>
      </c>
      <c r="T27" s="84" t="str">
        <f ca="1">IF(B27="","",IF($B$2="R&amp;T Level 5 - Clinical Lecturers (Vet School)",$C27-SUMIF('Points Lookup'!$V:$V,$B27,'Points Lookup'!$X:$X),IF($B$2="R&amp;T Level 6 - Clinical Associate Professors and Clinical Readers (Vet School)",$C27-SUMIF('Points Lookup'!$AC:$AC,$B27,'Points Lookup'!$AE:$AE),"")))</f>
        <v/>
      </c>
      <c r="U27" s="83" t="str">
        <f ca="1">IF(B27="","",IF($B$2="R&amp;T Level 5 - Clinical Lecturers (Vet School)",SUMIF('Points Lookup'!$V:$V,$B27,'Points Lookup'!$Z:$Z),IF($B$2="R&amp;T Level 6 - Clinical Associate Professors and Clinical Readers (Vet School)",SUMIF('Points Lookup'!$AC:$AC,$B27,'Points Lookup'!$AG:$AG),"")))</f>
        <v/>
      </c>
      <c r="V27" s="84" t="str">
        <f t="shared" ca="1" si="0"/>
        <v/>
      </c>
      <c r="AA27" s="174">
        <v>21</v>
      </c>
    </row>
    <row r="28" spans="2:27" x14ac:dyDescent="0.25">
      <c r="B28" s="68" t="str">
        <f ca="1">IFERROR(INDEX('Points Lookup'!$A:$A,MATCH($AA28,'Points Lookup'!$AN:$AN,0)),"")</f>
        <v/>
      </c>
      <c r="C28" s="81" t="str">
        <f ca="1">IF(B28="","",SUMIF(INDIRECT("'Points Lookup'!"&amp;VLOOKUP($B$2,Grades!A:BU,72,FALSE)&amp;":"&amp;VLOOKUP($B$2,Grades!A:BU,72,FALSE)),B28,INDIRECT("'Points Lookup'!"&amp;VLOOKUP($B$2,Grades!A:BU,73,FALSE)&amp;":"&amp;VLOOKUP($B$2,Grades!A:BU,73,FALSE))))</f>
        <v/>
      </c>
      <c r="D28" s="82" t="str">
        <f ca="1">IF(B28="","",IF(AND(VLOOKUP($B$2,Grades!$A:$BS,71,0)="Y",B28&lt;8),VLOOKUP($B28,Thresholds_Rates!$I$15:$J$19,2,FALSE),"-"))</f>
        <v/>
      </c>
      <c r="E28" s="81"/>
      <c r="F28" s="81" t="str">
        <f ca="1">IF($B28="","",IF(SUMIF(Grades!$A:$A,$B$2,Grades!$BO:$BO)=0,"-",IF(AND(VLOOKUP($B$2,Grades!$A:$BV,74,FALSE)="YES",B28&lt;Thresholds_Rates!$C$16),"-",$C28*Thresholds_Rates!$F$15)))</f>
        <v/>
      </c>
      <c r="G28" s="81" t="str">
        <f ca="1">IF(B28="","",IF(OR($B$2="Salary Points 3 to 57",$B$2="Salary Points 3 to 57 (post-pay award)"),"-",IF(SUMIF(Grades!$A:$A,$B$2,Grades!$BP:$BP)=0,"-",$C28*Thresholds_Rates!$F$16)))</f>
        <v/>
      </c>
      <c r="H28" s="81" t="str">
        <f ca="1">IF(B28="","",IF($B$2="Apprenticeship","-",IF(SUMIF(Grades!$A:$A,$B$2,Grades!$BQ:$BQ)=0,"-",IF(AND(VLOOKUP($B$2,Grades!$A:$BW,75,FALSE)="YES",B28&gt;Thresholds_Rates!$C$17),"-",$C28*Thresholds_Rates!$F$17))))</f>
        <v/>
      </c>
      <c r="I28" s="81" t="str">
        <f ca="1">IF($B28="","",IF($C28=0,0,ROUND(($C28-(Thresholds_Rates!$C$5*12))*Thresholds_Rates!$C$10,0)))</f>
        <v/>
      </c>
      <c r="J28" s="81" t="str">
        <f ca="1">IF(B28="","",(C28*Thresholds_Rates!$C$12))</f>
        <v/>
      </c>
      <c r="K28" s="81" t="str">
        <f ca="1">IF(B28="","",IF(SUMIF(Grades!$A:$A,$B$2,Grades!$BR:$BR)=0,"-",IF(AND(VLOOKUP($B$2,Grades!$A:$BW,75,FALSE)="YES",B28&gt;Thresholds_Rates!$C$17),"-",$C28*Thresholds_Rates!$F$18)))</f>
        <v/>
      </c>
      <c r="L28" s="68"/>
      <c r="M28" s="81" t="str">
        <f t="shared" ca="1" si="1"/>
        <v/>
      </c>
      <c r="N28" s="81" t="str">
        <f t="shared" ca="1" si="2"/>
        <v/>
      </c>
      <c r="O28" s="81" t="str">
        <f t="shared" ca="1" si="3"/>
        <v/>
      </c>
      <c r="P28" s="81" t="str">
        <f t="shared" ca="1" si="4"/>
        <v/>
      </c>
      <c r="Q28" s="81" t="str">
        <f t="shared" ca="1" si="5"/>
        <v/>
      </c>
      <c r="S28" s="83" t="str">
        <f ca="1">IF(B28="","",IF($B$2="R&amp;T Level 5 - Clinical Lecturers (Vet School)",SUMIF('Points Lookup'!$V:$V,$B28,'Points Lookup'!$W:$W),IF($B$2="R&amp;T Level 6 - Clinical Associate Professors and Clinical Readers (Vet School)",SUMIF('Points Lookup'!$AC:$AC,$B28,'Points Lookup'!$AD:$AD),"")))</f>
        <v/>
      </c>
      <c r="T28" s="84" t="str">
        <f ca="1">IF(B28="","",IF($B$2="R&amp;T Level 5 - Clinical Lecturers (Vet School)",$C28-SUMIF('Points Lookup'!$V:$V,$B28,'Points Lookup'!$X:$X),IF($B$2="R&amp;T Level 6 - Clinical Associate Professors and Clinical Readers (Vet School)",$C28-SUMIF('Points Lookup'!$AC:$AC,$B28,'Points Lookup'!$AE:$AE),"")))</f>
        <v/>
      </c>
      <c r="U28" s="83" t="str">
        <f ca="1">IF(B28="","",IF($B$2="R&amp;T Level 5 - Clinical Lecturers (Vet School)",SUMIF('Points Lookup'!$V:$V,$B28,'Points Lookup'!$Z:$Z),IF($B$2="R&amp;T Level 6 - Clinical Associate Professors and Clinical Readers (Vet School)",SUMIF('Points Lookup'!$AC:$AC,$B28,'Points Lookup'!$AG:$AG),"")))</f>
        <v/>
      </c>
      <c r="V28" s="84" t="str">
        <f t="shared" ca="1" si="0"/>
        <v/>
      </c>
      <c r="AA28" s="174">
        <v>22</v>
      </c>
    </row>
    <row r="29" spans="2:27" x14ac:dyDescent="0.25">
      <c r="B29" s="68" t="str">
        <f ca="1">IFERROR(INDEX('Points Lookup'!$A:$A,MATCH($AA29,'Points Lookup'!$AN:$AN,0)),"")</f>
        <v/>
      </c>
      <c r="C29" s="81" t="str">
        <f ca="1">IF(B29="","",SUMIF(INDIRECT("'Points Lookup'!"&amp;VLOOKUP($B$2,Grades!A:BU,72,FALSE)&amp;":"&amp;VLOOKUP($B$2,Grades!A:BU,72,FALSE)),B29,INDIRECT("'Points Lookup'!"&amp;VLOOKUP($B$2,Grades!A:BU,73,FALSE)&amp;":"&amp;VLOOKUP($B$2,Grades!A:BU,73,FALSE))))</f>
        <v/>
      </c>
      <c r="D29" s="82" t="str">
        <f ca="1">IF(B29="","",IF(AND(VLOOKUP($B$2,Grades!$A:$BS,71,0)="Y",B29&lt;8),VLOOKUP($B29,Thresholds_Rates!$I$15:$J$19,2,FALSE),"-"))</f>
        <v/>
      </c>
      <c r="E29" s="81"/>
      <c r="F29" s="81" t="str">
        <f ca="1">IF($B29="","",IF(SUMIF(Grades!$A:$A,$B$2,Grades!$BO:$BO)=0,"-",IF(AND(VLOOKUP($B$2,Grades!$A:$BV,74,FALSE)="YES",B29&lt;Thresholds_Rates!$C$16),"-",$C29*Thresholds_Rates!$F$15)))</f>
        <v/>
      </c>
      <c r="G29" s="81" t="str">
        <f ca="1">IF(B29="","",IF(OR($B$2="Salary Points 3 to 57",$B$2="Salary Points 3 to 57 (post-pay award)"),"-",IF(SUMIF(Grades!$A:$A,$B$2,Grades!$BP:$BP)=0,"-",$C29*Thresholds_Rates!$F$16)))</f>
        <v/>
      </c>
      <c r="H29" s="81" t="str">
        <f ca="1">IF(B29="","",IF($B$2="Apprenticeship","-",IF(SUMIF(Grades!$A:$A,$B$2,Grades!$BQ:$BQ)=0,"-",IF(AND(VLOOKUP($B$2,Grades!$A:$BW,75,FALSE)="YES",B29&gt;Thresholds_Rates!$C$17),"-",$C29*Thresholds_Rates!$F$17))))</f>
        <v/>
      </c>
      <c r="I29" s="81" t="str">
        <f ca="1">IF($B29="","",IF($C29=0,0,ROUND(($C29-(Thresholds_Rates!$C$5*12))*Thresholds_Rates!$C$10,0)))</f>
        <v/>
      </c>
      <c r="J29" s="81" t="str">
        <f ca="1">IF(B29="","",(C29*Thresholds_Rates!$C$12))</f>
        <v/>
      </c>
      <c r="K29" s="81" t="str">
        <f ca="1">IF(B29="","",IF(SUMIF(Grades!$A:$A,$B$2,Grades!$BR:$BR)=0,"-",IF(AND(VLOOKUP($B$2,Grades!$A:$BW,75,FALSE)="YES",B29&gt;Thresholds_Rates!$C$17),"-",$C29*Thresholds_Rates!$F$18)))</f>
        <v/>
      </c>
      <c r="L29" s="68"/>
      <c r="M29" s="81" t="str">
        <f t="shared" ca="1" si="1"/>
        <v/>
      </c>
      <c r="N29" s="81" t="str">
        <f t="shared" ca="1" si="2"/>
        <v/>
      </c>
      <c r="O29" s="81" t="str">
        <f t="shared" ca="1" si="3"/>
        <v/>
      </c>
      <c r="P29" s="81" t="str">
        <f t="shared" ca="1" si="4"/>
        <v/>
      </c>
      <c r="Q29" s="81" t="str">
        <f t="shared" ca="1" si="5"/>
        <v/>
      </c>
      <c r="S29" s="83" t="str">
        <f ca="1">IF(B29="","",IF($B$2="R&amp;T Level 5 - Clinical Lecturers (Vet School)",SUMIF('Points Lookup'!$V:$V,$B29,'Points Lookup'!$W:$W),IF($B$2="R&amp;T Level 6 - Clinical Associate Professors and Clinical Readers (Vet School)",SUMIF('Points Lookup'!$AC:$AC,$B29,'Points Lookup'!$AD:$AD),"")))</f>
        <v/>
      </c>
      <c r="T29" s="84" t="str">
        <f ca="1">IF(B29="","",IF($B$2="R&amp;T Level 5 - Clinical Lecturers (Vet School)",$C29-SUMIF('Points Lookup'!$V:$V,$B29,'Points Lookup'!$X:$X),IF($B$2="R&amp;T Level 6 - Clinical Associate Professors and Clinical Readers (Vet School)",$C29-SUMIF('Points Lookup'!$AC:$AC,$B29,'Points Lookup'!$AE:$AE),"")))</f>
        <v/>
      </c>
      <c r="U29" s="83" t="str">
        <f ca="1">IF(B29="","",IF($B$2="R&amp;T Level 5 - Clinical Lecturers (Vet School)",SUMIF('Points Lookup'!$V:$V,$B29,'Points Lookup'!$Z:$Z),IF($B$2="R&amp;T Level 6 - Clinical Associate Professors and Clinical Readers (Vet School)",SUMIF('Points Lookup'!$AC:$AC,$B29,'Points Lookup'!$AG:$AG),"")))</f>
        <v/>
      </c>
      <c r="V29" s="84" t="str">
        <f t="shared" ca="1" si="0"/>
        <v/>
      </c>
      <c r="AA29" s="174">
        <v>23</v>
      </c>
    </row>
    <row r="30" spans="2:27" x14ac:dyDescent="0.25">
      <c r="B30" s="68" t="str">
        <f ca="1">IFERROR(INDEX('Points Lookup'!$A:$A,MATCH($AA30,'Points Lookup'!$AN:$AN,0)),"")</f>
        <v/>
      </c>
      <c r="C30" s="81" t="str">
        <f ca="1">IF(B30="","",SUMIF(INDIRECT("'Points Lookup'!"&amp;VLOOKUP($B$2,Grades!A:BU,72,FALSE)&amp;":"&amp;VLOOKUP($B$2,Grades!A:BU,72,FALSE)),B30,INDIRECT("'Points Lookup'!"&amp;VLOOKUP($B$2,Grades!A:BU,73,FALSE)&amp;":"&amp;VLOOKUP($B$2,Grades!A:BU,73,FALSE))))</f>
        <v/>
      </c>
      <c r="D30" s="82" t="str">
        <f ca="1">IF(B30="","",IF(AND(VLOOKUP($B$2,Grades!$A:$BS,71,0)="Y",B30&lt;8),VLOOKUP($B30,Thresholds_Rates!$I$15:$J$19,2,FALSE),"-"))</f>
        <v/>
      </c>
      <c r="E30" s="81"/>
      <c r="F30" s="81" t="str">
        <f ca="1">IF($B30="","",IF(SUMIF(Grades!$A:$A,$B$2,Grades!$BO:$BO)=0,"-",IF(AND(VLOOKUP($B$2,Grades!$A:$BV,74,FALSE)="YES",B30&lt;Thresholds_Rates!$C$16),"-",$C30*Thresholds_Rates!$F$15)))</f>
        <v/>
      </c>
      <c r="G30" s="81" t="str">
        <f ca="1">IF(B30="","",IF(OR($B$2="Salary Points 3 to 57",$B$2="Salary Points 3 to 57 (post-pay award)"),"-",IF(SUMIF(Grades!$A:$A,$B$2,Grades!$BP:$BP)=0,"-",$C30*Thresholds_Rates!$F$16)))</f>
        <v/>
      </c>
      <c r="H30" s="81" t="str">
        <f ca="1">IF(B30="","",IF($B$2="Apprenticeship","-",IF(SUMIF(Grades!$A:$A,$B$2,Grades!$BQ:$BQ)=0,"-",IF(AND(VLOOKUP($B$2,Grades!$A:$BW,75,FALSE)="YES",B30&gt;Thresholds_Rates!$C$17),"-",$C30*Thresholds_Rates!$F$17))))</f>
        <v/>
      </c>
      <c r="I30" s="81" t="str">
        <f ca="1">IF($B30="","",IF($C30=0,0,ROUND(($C30-(Thresholds_Rates!$C$5*12))*Thresholds_Rates!$C$10,0)))</f>
        <v/>
      </c>
      <c r="J30" s="81" t="str">
        <f ca="1">IF(B30="","",(C30*Thresholds_Rates!$C$12))</f>
        <v/>
      </c>
      <c r="K30" s="81" t="str">
        <f ca="1">IF(B30="","",IF(SUMIF(Grades!$A:$A,$B$2,Grades!$BR:$BR)=0,"-",IF(AND(VLOOKUP($B$2,Grades!$A:$BW,75,FALSE)="YES",B30&gt;Thresholds_Rates!$C$17),"-",$C30*Thresholds_Rates!$F$18)))</f>
        <v/>
      </c>
      <c r="L30" s="68"/>
      <c r="M30" s="81" t="str">
        <f t="shared" ca="1" si="1"/>
        <v/>
      </c>
      <c r="N30" s="81" t="str">
        <f t="shared" ca="1" si="2"/>
        <v/>
      </c>
      <c r="O30" s="81" t="str">
        <f t="shared" ca="1" si="3"/>
        <v/>
      </c>
      <c r="P30" s="81" t="str">
        <f t="shared" ca="1" si="4"/>
        <v/>
      </c>
      <c r="Q30" s="81" t="str">
        <f t="shared" ca="1" si="5"/>
        <v/>
      </c>
      <c r="S30" s="83" t="str">
        <f ca="1">IF(B30="","",IF($B$2="R&amp;T Level 5 - Clinical Lecturers (Vet School)",SUMIF('Points Lookup'!$V:$V,$B30,'Points Lookup'!$W:$W),IF($B$2="R&amp;T Level 6 - Clinical Associate Professors and Clinical Readers (Vet School)",SUMIF('Points Lookup'!$AC:$AC,$B30,'Points Lookup'!$AD:$AD),"")))</f>
        <v/>
      </c>
      <c r="T30" s="84" t="str">
        <f ca="1">IF(B30="","",IF($B$2="R&amp;T Level 5 - Clinical Lecturers (Vet School)",$C30-SUMIF('Points Lookup'!$V:$V,$B30,'Points Lookup'!$X:$X),IF($B$2="R&amp;T Level 6 - Clinical Associate Professors and Clinical Readers (Vet School)",$C30-SUMIF('Points Lookup'!$AC:$AC,$B30,'Points Lookup'!$AE:$AE),"")))</f>
        <v/>
      </c>
      <c r="U30" s="83" t="str">
        <f ca="1">IF(B30="","",IF($B$2="R&amp;T Level 5 - Clinical Lecturers (Vet School)",SUMIF('Points Lookup'!$V:$V,$B30,'Points Lookup'!$Z:$Z),IF($B$2="R&amp;T Level 6 - Clinical Associate Professors and Clinical Readers (Vet School)",SUMIF('Points Lookup'!$AC:$AC,$B30,'Points Lookup'!$AG:$AG),"")))</f>
        <v/>
      </c>
      <c r="V30" s="84" t="str">
        <f t="shared" ca="1" si="0"/>
        <v/>
      </c>
      <c r="AA30" s="174">
        <v>24</v>
      </c>
    </row>
    <row r="31" spans="2:27" x14ac:dyDescent="0.25">
      <c r="B31" s="68" t="str">
        <f ca="1">IFERROR(INDEX('Points Lookup'!$A:$A,MATCH($AA31,'Points Lookup'!$AN:$AN,0)),"")</f>
        <v/>
      </c>
      <c r="C31" s="81" t="str">
        <f ca="1">IF(B31="","",SUMIF(INDIRECT("'Points Lookup'!"&amp;VLOOKUP($B$2,Grades!A:BU,72,FALSE)&amp;":"&amp;VLOOKUP($B$2,Grades!A:BU,72,FALSE)),B31,INDIRECT("'Points Lookup'!"&amp;VLOOKUP($B$2,Grades!A:BU,73,FALSE)&amp;":"&amp;VLOOKUP($B$2,Grades!A:BU,73,FALSE))))</f>
        <v/>
      </c>
      <c r="D31" s="82" t="str">
        <f ca="1">IF(B31="","",IF(AND(VLOOKUP($B$2,Grades!$A:$BS,71,0)="Y",B31&lt;8),VLOOKUP($B31,Thresholds_Rates!$I$15:$J$19,2,FALSE),"-"))</f>
        <v/>
      </c>
      <c r="E31" s="81"/>
      <c r="F31" s="81" t="str">
        <f ca="1">IF($B31="","",IF(SUMIF(Grades!$A:$A,$B$2,Grades!$BO:$BO)=0,"-",IF(AND(VLOOKUP($B$2,Grades!$A:$BV,74,FALSE)="YES",B31&lt;Thresholds_Rates!$C$16),"-",$C31*Thresholds_Rates!$F$15)))</f>
        <v/>
      </c>
      <c r="G31" s="81" t="str">
        <f ca="1">IF(B31="","",IF(OR($B$2="Salary Points 3 to 57",$B$2="Salary Points 3 to 57 (post-pay award)"),"-",IF(SUMIF(Grades!$A:$A,$B$2,Grades!$BP:$BP)=0,"-",$C31*Thresholds_Rates!$F$16)))</f>
        <v/>
      </c>
      <c r="H31" s="81" t="str">
        <f ca="1">IF(B31="","",IF($B$2="Apprenticeship","-",IF(SUMIF(Grades!$A:$A,$B$2,Grades!$BQ:$BQ)=0,"-",IF(AND(VLOOKUP($B$2,Grades!$A:$BW,75,FALSE)="YES",B31&gt;Thresholds_Rates!$C$17),"-",$C31*Thresholds_Rates!$F$17))))</f>
        <v/>
      </c>
      <c r="I31" s="81" t="str">
        <f ca="1">IF($B31="","",IF($C31=0,0,ROUND(($C31-(Thresholds_Rates!$C$5*12))*Thresholds_Rates!$C$10,0)))</f>
        <v/>
      </c>
      <c r="J31" s="81" t="str">
        <f ca="1">IF(B31="","",(C31*Thresholds_Rates!$C$12))</f>
        <v/>
      </c>
      <c r="K31" s="81" t="str">
        <f ca="1">IF(B31="","",IF(SUMIF(Grades!$A:$A,$B$2,Grades!$BR:$BR)=0,"-",IF(AND(VLOOKUP($B$2,Grades!$A:$BW,75,FALSE)="YES",B31&gt;Thresholds_Rates!$C$17),"-",$C31*Thresholds_Rates!$F$18)))</f>
        <v/>
      </c>
      <c r="L31" s="68"/>
      <c r="M31" s="81" t="str">
        <f t="shared" ca="1" si="1"/>
        <v/>
      </c>
      <c r="N31" s="81" t="str">
        <f t="shared" ca="1" si="2"/>
        <v/>
      </c>
      <c r="O31" s="81" t="str">
        <f t="shared" ca="1" si="3"/>
        <v/>
      </c>
      <c r="P31" s="81" t="str">
        <f t="shared" ca="1" si="4"/>
        <v/>
      </c>
      <c r="Q31" s="81" t="str">
        <f t="shared" ca="1" si="5"/>
        <v/>
      </c>
      <c r="S31" s="83" t="str">
        <f ca="1">IF(B31="","",IF($B$2="R&amp;T Level 5 - Clinical Lecturers (Vet School)",SUMIF('Points Lookup'!$V:$V,$B31,'Points Lookup'!$W:$W),IF($B$2="R&amp;T Level 6 - Clinical Associate Professors and Clinical Readers (Vet School)",SUMIF('Points Lookup'!$AC:$AC,$B31,'Points Lookup'!$AD:$AD),"")))</f>
        <v/>
      </c>
      <c r="T31" s="84" t="str">
        <f ca="1">IF(B31="","",IF($B$2="R&amp;T Level 5 - Clinical Lecturers (Vet School)",$C31-SUMIF('Points Lookup'!$V:$V,$B31,'Points Lookup'!$X:$X),IF($B$2="R&amp;T Level 6 - Clinical Associate Professors and Clinical Readers (Vet School)",$C31-SUMIF('Points Lookup'!$AC:$AC,$B31,'Points Lookup'!$AE:$AE),"")))</f>
        <v/>
      </c>
      <c r="U31" s="83" t="str">
        <f ca="1">IF(B31="","",IF($B$2="R&amp;T Level 5 - Clinical Lecturers (Vet School)",SUMIF('Points Lookup'!$V:$V,$B31,'Points Lookup'!$Z:$Z),IF($B$2="R&amp;T Level 6 - Clinical Associate Professors and Clinical Readers (Vet School)",SUMIF('Points Lookup'!$AC:$AC,$B31,'Points Lookup'!$AG:$AG),"")))</f>
        <v/>
      </c>
      <c r="V31" s="84" t="str">
        <f t="shared" ca="1" si="0"/>
        <v/>
      </c>
      <c r="AA31" s="174">
        <v>25</v>
      </c>
    </row>
    <row r="32" spans="2:27" x14ac:dyDescent="0.25">
      <c r="B32" s="68" t="str">
        <f ca="1">IFERROR(INDEX('Points Lookup'!$A:$A,MATCH($AA32,'Points Lookup'!$AN:$AN,0)),"")</f>
        <v/>
      </c>
      <c r="C32" s="81" t="str">
        <f ca="1">IF(B32="","",SUMIF(INDIRECT("'Points Lookup'!"&amp;VLOOKUP($B$2,Grades!A:BU,72,FALSE)&amp;":"&amp;VLOOKUP($B$2,Grades!A:BU,72,FALSE)),B32,INDIRECT("'Points Lookup'!"&amp;VLOOKUP($B$2,Grades!A:BU,73,FALSE)&amp;":"&amp;VLOOKUP($B$2,Grades!A:BU,73,FALSE))))</f>
        <v/>
      </c>
      <c r="D32" s="82" t="str">
        <f ca="1">IF(B32="","",IF(AND(VLOOKUP($B$2,Grades!$A:$BS,71,0)="Y",B32&lt;8),VLOOKUP($B32,Thresholds_Rates!$I$15:$J$19,2,FALSE),"-"))</f>
        <v/>
      </c>
      <c r="E32" s="81"/>
      <c r="F32" s="81" t="str">
        <f ca="1">IF($B32="","",IF(SUMIF(Grades!$A:$A,$B$2,Grades!$BO:$BO)=0,"-",IF(AND(VLOOKUP($B$2,Grades!$A:$BV,74,FALSE)="YES",B32&lt;Thresholds_Rates!$C$16),"-",$C32*Thresholds_Rates!$F$15)))</f>
        <v/>
      </c>
      <c r="G32" s="81" t="str">
        <f ca="1">IF(B32="","",IF(OR($B$2="Salary Points 3 to 57",$B$2="Salary Points 3 to 57 (post-pay award)"),"-",IF(SUMIF(Grades!$A:$A,$B$2,Grades!$BP:$BP)=0,"-",$C32*Thresholds_Rates!$F$16)))</f>
        <v/>
      </c>
      <c r="H32" s="81" t="str">
        <f ca="1">IF(B32="","",IF($B$2="Apprenticeship","-",IF(SUMIF(Grades!$A:$A,$B$2,Grades!$BQ:$BQ)=0,"-",IF(AND(VLOOKUP($B$2,Grades!$A:$BW,75,FALSE)="YES",B32&gt;Thresholds_Rates!$C$17),"-",$C32*Thresholds_Rates!$F$17))))</f>
        <v/>
      </c>
      <c r="I32" s="81" t="str">
        <f ca="1">IF($B32="","",IF($C32=0,0,ROUND(($C32-(Thresholds_Rates!$C$5*12))*Thresholds_Rates!$C$10,0)))</f>
        <v/>
      </c>
      <c r="J32" s="81" t="str">
        <f ca="1">IF(B32="","",(C32*Thresholds_Rates!$C$12))</f>
        <v/>
      </c>
      <c r="K32" s="81" t="str">
        <f ca="1">IF(B32="","",IF(SUMIF(Grades!$A:$A,$B$2,Grades!$BR:$BR)=0,"-",IF(AND(VLOOKUP($B$2,Grades!$A:$BW,75,FALSE)="YES",B32&gt;Thresholds_Rates!$C$17),"-",$C32*Thresholds_Rates!$F$18)))</f>
        <v/>
      </c>
      <c r="L32" s="68"/>
      <c r="M32" s="81" t="str">
        <f t="shared" ca="1" si="1"/>
        <v/>
      </c>
      <c r="N32" s="81" t="str">
        <f t="shared" ca="1" si="2"/>
        <v/>
      </c>
      <c r="O32" s="81" t="str">
        <f t="shared" ca="1" si="3"/>
        <v/>
      </c>
      <c r="P32" s="81" t="str">
        <f t="shared" ca="1" si="4"/>
        <v/>
      </c>
      <c r="Q32" s="81" t="str">
        <f t="shared" ca="1" si="5"/>
        <v/>
      </c>
      <c r="S32" s="83" t="str">
        <f ca="1">IF(B32="","",IF($B$2="R&amp;T Level 5 - Clinical Lecturers (Vet School)",SUMIF('Points Lookup'!$V:$V,$B32,'Points Lookup'!$W:$W),IF($B$2="R&amp;T Level 6 - Clinical Associate Professors and Clinical Readers (Vet School)",SUMIF('Points Lookup'!$AC:$AC,$B32,'Points Lookup'!$AD:$AD),"")))</f>
        <v/>
      </c>
      <c r="T32" s="84" t="str">
        <f ca="1">IF(B32="","",IF($B$2="R&amp;T Level 5 - Clinical Lecturers (Vet School)",$C32-SUMIF('Points Lookup'!$V:$V,$B32,'Points Lookup'!$X:$X),IF($B$2="R&amp;T Level 6 - Clinical Associate Professors and Clinical Readers (Vet School)",$C32-SUMIF('Points Lookup'!$AC:$AC,$B32,'Points Lookup'!$AE:$AE),"")))</f>
        <v/>
      </c>
      <c r="U32" s="83" t="str">
        <f ca="1">IF(B32="","",IF($B$2="R&amp;T Level 5 - Clinical Lecturers (Vet School)",SUMIF('Points Lookup'!$V:$V,$B32,'Points Lookup'!$Z:$Z),IF($B$2="R&amp;T Level 6 - Clinical Associate Professors and Clinical Readers (Vet School)",SUMIF('Points Lookup'!$AC:$AC,$B32,'Points Lookup'!$AG:$AG),"")))</f>
        <v/>
      </c>
      <c r="V32" s="84" t="str">
        <f t="shared" ca="1" si="0"/>
        <v/>
      </c>
      <c r="AA32" s="174">
        <v>26</v>
      </c>
    </row>
    <row r="33" spans="2:27" x14ac:dyDescent="0.25">
      <c r="B33" s="68" t="str">
        <f ca="1">IFERROR(INDEX('Points Lookup'!$A:$A,MATCH($AA33,'Points Lookup'!$AN:$AN,0)),"")</f>
        <v/>
      </c>
      <c r="C33" s="81" t="str">
        <f ca="1">IF(B33="","",SUMIF(INDIRECT("'Points Lookup'!"&amp;VLOOKUP($B$2,Grades!A:BU,72,FALSE)&amp;":"&amp;VLOOKUP($B$2,Grades!A:BU,72,FALSE)),B33,INDIRECT("'Points Lookup'!"&amp;VLOOKUP($B$2,Grades!A:BU,73,FALSE)&amp;":"&amp;VLOOKUP($B$2,Grades!A:BU,73,FALSE))))</f>
        <v/>
      </c>
      <c r="D33" s="82" t="str">
        <f ca="1">IF(B33="","",IF(AND(VLOOKUP($B$2,Grades!$A:$BS,71,0)="Y",B33&lt;8),VLOOKUP($B33,Thresholds_Rates!$I$15:$J$19,2,FALSE),"-"))</f>
        <v/>
      </c>
      <c r="E33" s="81"/>
      <c r="F33" s="81" t="str">
        <f ca="1">IF($B33="","",IF(SUMIF(Grades!$A:$A,$B$2,Grades!$BO:$BO)=0,"-",IF(AND(VLOOKUP($B$2,Grades!$A:$BV,74,FALSE)="YES",B33&lt;Thresholds_Rates!$C$16),"-",$C33*Thresholds_Rates!$F$15)))</f>
        <v/>
      </c>
      <c r="G33" s="81" t="str">
        <f ca="1">IF(B33="","",IF(OR($B$2="Salary Points 3 to 57",$B$2="Salary Points 3 to 57 (post-pay award)"),"-",IF(SUMIF(Grades!$A:$A,$B$2,Grades!$BP:$BP)=0,"-",$C33*Thresholds_Rates!$F$16)))</f>
        <v/>
      </c>
      <c r="H33" s="81" t="str">
        <f ca="1">IF(B33="","",IF($B$2="Apprenticeship","-",IF(SUMIF(Grades!$A:$A,$B$2,Grades!$BQ:$BQ)=0,"-",IF(AND(VLOOKUP($B$2,Grades!$A:$BW,75,FALSE)="YES",B33&gt;Thresholds_Rates!$C$17),"-",$C33*Thresholds_Rates!$F$17))))</f>
        <v/>
      </c>
      <c r="I33" s="81" t="str">
        <f ca="1">IF($B33="","",IF($C33=0,0,ROUND(($C33-(Thresholds_Rates!$C$5*12))*Thresholds_Rates!$C$10,0)))</f>
        <v/>
      </c>
      <c r="J33" s="81" t="str">
        <f ca="1">IF(B33="","",(C33*Thresholds_Rates!$C$12))</f>
        <v/>
      </c>
      <c r="K33" s="81" t="str">
        <f ca="1">IF(B33="","",IF(SUMIF(Grades!$A:$A,$B$2,Grades!$BR:$BR)=0,"-",IF(AND(VLOOKUP($B$2,Grades!$A:$BW,75,FALSE)="YES",B33&gt;Thresholds_Rates!$C$17),"-",$C33*Thresholds_Rates!$F$18)))</f>
        <v/>
      </c>
      <c r="L33" s="68"/>
      <c r="M33" s="81" t="str">
        <f t="shared" ca="1" si="1"/>
        <v/>
      </c>
      <c r="N33" s="81" t="str">
        <f t="shared" ca="1" si="2"/>
        <v/>
      </c>
      <c r="O33" s="81" t="str">
        <f t="shared" ca="1" si="3"/>
        <v/>
      </c>
      <c r="P33" s="81" t="str">
        <f t="shared" ca="1" si="4"/>
        <v/>
      </c>
      <c r="Q33" s="81" t="str">
        <f t="shared" ca="1" si="5"/>
        <v/>
      </c>
      <c r="S33" s="83" t="str">
        <f ca="1">IF(B33="","",IF($B$2="R&amp;T Level 5 - Clinical Lecturers (Vet School)",SUMIF('Points Lookup'!$V:$V,$B33,'Points Lookup'!$W:$W),IF($B$2="R&amp;T Level 6 - Clinical Associate Professors and Clinical Readers (Vet School)",SUMIF('Points Lookup'!$AC:$AC,$B33,'Points Lookup'!$AD:$AD),"")))</f>
        <v/>
      </c>
      <c r="T33" s="84" t="str">
        <f ca="1">IF(B33="","",IF($B$2="R&amp;T Level 5 - Clinical Lecturers (Vet School)",$C33-SUMIF('Points Lookup'!$V:$V,$B33,'Points Lookup'!$X:$X),IF($B$2="R&amp;T Level 6 - Clinical Associate Professors and Clinical Readers (Vet School)",$C33-SUMIF('Points Lookup'!$AC:$AC,$B33,'Points Lookup'!$AE:$AE),"")))</f>
        <v/>
      </c>
      <c r="U33" s="83" t="str">
        <f ca="1">IF(B33="","",IF($B$2="R&amp;T Level 5 - Clinical Lecturers (Vet School)",SUMIF('Points Lookup'!$V:$V,$B33,'Points Lookup'!$Z:$Z),IF($B$2="R&amp;T Level 6 - Clinical Associate Professors and Clinical Readers (Vet School)",SUMIF('Points Lookup'!$AC:$AC,$B33,'Points Lookup'!$AG:$AG),"")))</f>
        <v/>
      </c>
      <c r="V33" s="84" t="str">
        <f t="shared" ca="1" si="0"/>
        <v/>
      </c>
      <c r="AA33" s="174">
        <v>27</v>
      </c>
    </row>
    <row r="34" spans="2:27" x14ac:dyDescent="0.25">
      <c r="B34" s="68" t="str">
        <f ca="1">IFERROR(INDEX('Points Lookup'!$A:$A,MATCH($AA34,'Points Lookup'!$AN:$AN,0)),"")</f>
        <v/>
      </c>
      <c r="C34" s="81" t="str">
        <f ca="1">IF(B34="","",SUMIF(INDIRECT("'Points Lookup'!"&amp;VLOOKUP($B$2,Grades!A:BU,72,FALSE)&amp;":"&amp;VLOOKUP($B$2,Grades!A:BU,72,FALSE)),B34,INDIRECT("'Points Lookup'!"&amp;VLOOKUP($B$2,Grades!A:BU,73,FALSE)&amp;":"&amp;VLOOKUP($B$2,Grades!A:BU,73,FALSE))))</f>
        <v/>
      </c>
      <c r="D34" s="82" t="str">
        <f ca="1">IF(B34="","",IF(AND(VLOOKUP($B$2,Grades!$A:$BS,71,0)="Y",B34&lt;8),VLOOKUP($B34,Thresholds_Rates!$I$15:$J$19,2,FALSE),"-"))</f>
        <v/>
      </c>
      <c r="E34" s="81"/>
      <c r="F34" s="81" t="str">
        <f ca="1">IF($B34="","",IF(SUMIF(Grades!$A:$A,$B$2,Grades!$BO:$BO)=0,"-",IF(AND(VLOOKUP($B$2,Grades!$A:$BV,74,FALSE)="YES",B34&lt;Thresholds_Rates!$C$16),"-",$C34*Thresholds_Rates!$F$15)))</f>
        <v/>
      </c>
      <c r="G34" s="81" t="str">
        <f ca="1">IF(B34="","",IF(OR($B$2="Salary Points 3 to 57",$B$2="Salary Points 3 to 57 (post-pay award)"),"-",IF(SUMIF(Grades!$A:$A,$B$2,Grades!$BP:$BP)=0,"-",$C34*Thresholds_Rates!$F$16)))</f>
        <v/>
      </c>
      <c r="H34" s="81" t="str">
        <f ca="1">IF(B34="","",IF($B$2="Apprenticeship","-",IF(SUMIF(Grades!$A:$A,$B$2,Grades!$BQ:$BQ)=0,"-",IF(AND(VLOOKUP($B$2,Grades!$A:$BW,75,FALSE)="YES",B34&gt;Thresholds_Rates!$C$17),"-",$C34*Thresholds_Rates!$F$17))))</f>
        <v/>
      </c>
      <c r="I34" s="81" t="str">
        <f ca="1">IF($B34="","",IF($C34=0,0,ROUND(($C34-(Thresholds_Rates!$C$5*12))*Thresholds_Rates!$C$10,0)))</f>
        <v/>
      </c>
      <c r="J34" s="81" t="str">
        <f ca="1">IF(B34="","",(C34*Thresholds_Rates!$C$12))</f>
        <v/>
      </c>
      <c r="K34" s="81" t="str">
        <f ca="1">IF(B34="","",IF(SUMIF(Grades!$A:$A,$B$2,Grades!$BR:$BR)=0,"-",IF(AND(VLOOKUP($B$2,Grades!$A:$BW,75,FALSE)="YES",B34&gt;Thresholds_Rates!$C$17),"-",$C34*Thresholds_Rates!$F$18)))</f>
        <v/>
      </c>
      <c r="L34" s="68"/>
      <c r="M34" s="81" t="str">
        <f t="shared" ca="1" si="1"/>
        <v/>
      </c>
      <c r="N34" s="81" t="str">
        <f t="shared" ca="1" si="2"/>
        <v/>
      </c>
      <c r="O34" s="81" t="str">
        <f t="shared" ca="1" si="3"/>
        <v/>
      </c>
      <c r="P34" s="81" t="str">
        <f t="shared" ca="1" si="4"/>
        <v/>
      </c>
      <c r="Q34" s="81" t="str">
        <f t="shared" ca="1" si="5"/>
        <v/>
      </c>
      <c r="S34" s="83" t="str">
        <f ca="1">IF(B34="","",IF($B$2="R&amp;T Level 5 - Clinical Lecturers (Vet School)",SUMIF('Points Lookup'!$V:$V,$B34,'Points Lookup'!$W:$W),IF($B$2="R&amp;T Level 6 - Clinical Associate Professors and Clinical Readers (Vet School)",SUMIF('Points Lookup'!$AC:$AC,$B34,'Points Lookup'!$AD:$AD),"")))</f>
        <v/>
      </c>
      <c r="T34" s="84" t="str">
        <f ca="1">IF(B34="","",IF($B$2="R&amp;T Level 5 - Clinical Lecturers (Vet School)",$C34-SUMIF('Points Lookup'!$V:$V,$B34,'Points Lookup'!$X:$X),IF($B$2="R&amp;T Level 6 - Clinical Associate Professors and Clinical Readers (Vet School)",$C34-SUMIF('Points Lookup'!$AC:$AC,$B34,'Points Lookup'!$AE:$AE),"")))</f>
        <v/>
      </c>
      <c r="U34" s="83" t="str">
        <f ca="1">IF(B34="","",IF($B$2="R&amp;T Level 5 - Clinical Lecturers (Vet School)",SUMIF('Points Lookup'!$V:$V,$B34,'Points Lookup'!$Z:$Z),IF($B$2="R&amp;T Level 6 - Clinical Associate Professors and Clinical Readers (Vet School)",SUMIF('Points Lookup'!$AC:$AC,$B34,'Points Lookup'!$AG:$AG),"")))</f>
        <v/>
      </c>
      <c r="V34" s="84" t="str">
        <f t="shared" ca="1" si="0"/>
        <v/>
      </c>
      <c r="AA34" s="174">
        <v>28</v>
      </c>
    </row>
    <row r="35" spans="2:27" x14ac:dyDescent="0.25">
      <c r="B35" s="68" t="str">
        <f ca="1">IFERROR(INDEX('Points Lookup'!$A:$A,MATCH($AA35,'Points Lookup'!$AN:$AN,0)),"")</f>
        <v/>
      </c>
      <c r="C35" s="81" t="str">
        <f ca="1">IF(B35="","",SUMIF(INDIRECT("'Points Lookup'!"&amp;VLOOKUP($B$2,Grades!A:BU,72,FALSE)&amp;":"&amp;VLOOKUP($B$2,Grades!A:BU,72,FALSE)),B35,INDIRECT("'Points Lookup'!"&amp;VLOOKUP($B$2,Grades!A:BU,73,FALSE)&amp;":"&amp;VLOOKUP($B$2,Grades!A:BU,73,FALSE))))</f>
        <v/>
      </c>
      <c r="D35" s="82" t="str">
        <f ca="1">IF(B35="","",IF(AND(VLOOKUP($B$2,Grades!$A:$BS,71,0)="Y",B35&lt;8),VLOOKUP($B35,Thresholds_Rates!$I$15:$J$19,2,FALSE),"-"))</f>
        <v/>
      </c>
      <c r="E35" s="81"/>
      <c r="F35" s="81" t="str">
        <f ca="1">IF($B35="","",IF(SUMIF(Grades!$A:$A,$B$2,Grades!$BO:$BO)=0,"-",IF(AND(VLOOKUP($B$2,Grades!$A:$BV,74,FALSE)="YES",B35&lt;Thresholds_Rates!$C$16),"-",$C35*Thresholds_Rates!$F$15)))</f>
        <v/>
      </c>
      <c r="G35" s="81" t="str">
        <f ca="1">IF(B35="","",IF(OR($B$2="Salary Points 3 to 57",$B$2="Salary Points 3 to 57 (post-pay award)"),"-",IF(SUMIF(Grades!$A:$A,$B$2,Grades!$BP:$BP)=0,"-",$C35*Thresholds_Rates!$F$16)))</f>
        <v/>
      </c>
      <c r="H35" s="81" t="str">
        <f ca="1">IF(B35="","",IF($B$2="Apprenticeship","-",IF(SUMIF(Grades!$A:$A,$B$2,Grades!$BQ:$BQ)=0,"-",IF(AND(VLOOKUP($B$2,Grades!$A:$BW,75,FALSE)="YES",B35&gt;Thresholds_Rates!$C$17),"-",$C35*Thresholds_Rates!$F$17))))</f>
        <v/>
      </c>
      <c r="I35" s="81" t="str">
        <f ca="1">IF($B35="","",IF($C35=0,0,ROUND(($C35-(Thresholds_Rates!$C$5*12))*Thresholds_Rates!$C$10,0)))</f>
        <v/>
      </c>
      <c r="J35" s="81" t="str">
        <f ca="1">IF(B35="","",(C35*Thresholds_Rates!$C$12))</f>
        <v/>
      </c>
      <c r="K35" s="81" t="str">
        <f ca="1">IF(B35="","",IF(SUMIF(Grades!$A:$A,$B$2,Grades!$BR:$BR)=0,"-",IF(AND(VLOOKUP($B$2,Grades!$A:$BW,75,FALSE)="YES",B35&gt;Thresholds_Rates!$C$17),"-",$C35*Thresholds_Rates!$F$18)))</f>
        <v/>
      </c>
      <c r="L35" s="68"/>
      <c r="M35" s="81" t="str">
        <f t="shared" ca="1" si="1"/>
        <v/>
      </c>
      <c r="N35" s="81" t="str">
        <f t="shared" ca="1" si="2"/>
        <v/>
      </c>
      <c r="O35" s="81" t="str">
        <f t="shared" ca="1" si="3"/>
        <v/>
      </c>
      <c r="P35" s="81" t="str">
        <f t="shared" ca="1" si="4"/>
        <v/>
      </c>
      <c r="Q35" s="81" t="str">
        <f t="shared" ca="1" si="5"/>
        <v/>
      </c>
      <c r="S35" s="83" t="str">
        <f ca="1">IF(B35="","",IF($B$2="R&amp;T Level 5 - Clinical Lecturers (Vet School)",SUMIF('Points Lookup'!$V:$V,$B35,'Points Lookup'!$W:$W),IF($B$2="R&amp;T Level 6 - Clinical Associate Professors and Clinical Readers (Vet School)",SUMIF('Points Lookup'!$AC:$AC,$B35,'Points Lookup'!$AD:$AD),"")))</f>
        <v/>
      </c>
      <c r="T35" s="84" t="str">
        <f ca="1">IF(B35="","",IF($B$2="R&amp;T Level 5 - Clinical Lecturers (Vet School)",$C35-SUMIF('Points Lookup'!$V:$V,$B35,'Points Lookup'!$X:$X),IF($B$2="R&amp;T Level 6 - Clinical Associate Professors and Clinical Readers (Vet School)",$C35-SUMIF('Points Lookup'!$AC:$AC,$B35,'Points Lookup'!$AE:$AE),"")))</f>
        <v/>
      </c>
      <c r="U35" s="83" t="str">
        <f ca="1">IF(B35="","",IF($B$2="R&amp;T Level 5 - Clinical Lecturers (Vet School)",SUMIF('Points Lookup'!$V:$V,$B35,'Points Lookup'!$Z:$Z),IF($B$2="R&amp;T Level 6 - Clinical Associate Professors and Clinical Readers (Vet School)",SUMIF('Points Lookup'!$AC:$AC,$B35,'Points Lookup'!$AG:$AG),"")))</f>
        <v/>
      </c>
      <c r="V35" s="84" t="str">
        <f t="shared" ca="1" si="0"/>
        <v/>
      </c>
      <c r="AA35" s="174">
        <v>29</v>
      </c>
    </row>
    <row r="36" spans="2:27" x14ac:dyDescent="0.25">
      <c r="B36" s="68" t="str">
        <f ca="1">IFERROR(INDEX('Points Lookup'!$A:$A,MATCH($AA36,'Points Lookup'!$AN:$AN,0)),"")</f>
        <v/>
      </c>
      <c r="C36" s="81" t="str">
        <f ca="1">IF(B36="","",SUMIF(INDIRECT("'Points Lookup'!"&amp;VLOOKUP($B$2,Grades!A:BU,72,FALSE)&amp;":"&amp;VLOOKUP($B$2,Grades!A:BU,72,FALSE)),B36,INDIRECT("'Points Lookup'!"&amp;VLOOKUP($B$2,Grades!A:BU,73,FALSE)&amp;":"&amp;VLOOKUP($B$2,Grades!A:BU,73,FALSE))))</f>
        <v/>
      </c>
      <c r="D36" s="82" t="str">
        <f ca="1">IF(B36="","",IF(AND(VLOOKUP($B$2,Grades!$A:$BS,71,0)="Y",B36&lt;8),VLOOKUP($B36,Thresholds_Rates!$I$15:$J$19,2,FALSE),"-"))</f>
        <v/>
      </c>
      <c r="E36" s="81"/>
      <c r="F36" s="81" t="str">
        <f ca="1">IF($B36="","",IF(SUMIF(Grades!$A:$A,$B$2,Grades!$BO:$BO)=0,"-",IF(AND(VLOOKUP($B$2,Grades!$A:$BV,74,FALSE)="YES",B36&lt;Thresholds_Rates!$C$16),"-",$C36*Thresholds_Rates!$F$15)))</f>
        <v/>
      </c>
      <c r="G36" s="81" t="str">
        <f ca="1">IF(B36="","",IF(OR($B$2="Salary Points 3 to 57",$B$2="Salary Points 3 to 57 (post-pay award)"),"-",IF(SUMIF(Grades!$A:$A,$B$2,Grades!$BP:$BP)=0,"-",$C36*Thresholds_Rates!$F$16)))</f>
        <v/>
      </c>
      <c r="H36" s="81" t="str">
        <f ca="1">IF(B36="","",IF($B$2="Apprenticeship","-",IF(SUMIF(Grades!$A:$A,$B$2,Grades!$BQ:$BQ)=0,"-",IF(AND(VLOOKUP($B$2,Grades!$A:$BW,75,FALSE)="YES",B36&gt;Thresholds_Rates!$C$17),"-",$C36*Thresholds_Rates!$F$17))))</f>
        <v/>
      </c>
      <c r="I36" s="81" t="str">
        <f ca="1">IF($B36="","",IF($C36=0,0,ROUND(($C36-(Thresholds_Rates!$C$5*12))*Thresholds_Rates!$C$10,0)))</f>
        <v/>
      </c>
      <c r="J36" s="81" t="str">
        <f ca="1">IF(B36="","",(C36*Thresholds_Rates!$C$12))</f>
        <v/>
      </c>
      <c r="K36" s="81" t="str">
        <f ca="1">IF(B36="","",IF(SUMIF(Grades!$A:$A,$B$2,Grades!$BR:$BR)=0,"-",IF(AND(VLOOKUP($B$2,Grades!$A:$BW,75,FALSE)="YES",B36&gt;Thresholds_Rates!$C$17),"-",$C36*Thresholds_Rates!$F$18)))</f>
        <v/>
      </c>
      <c r="L36" s="68"/>
      <c r="M36" s="81" t="str">
        <f t="shared" ca="1" si="1"/>
        <v/>
      </c>
      <c r="N36" s="81" t="str">
        <f t="shared" ca="1" si="2"/>
        <v/>
      </c>
      <c r="O36" s="81" t="str">
        <f t="shared" ca="1" si="3"/>
        <v/>
      </c>
      <c r="P36" s="81" t="str">
        <f t="shared" ca="1" si="4"/>
        <v/>
      </c>
      <c r="Q36" s="81" t="str">
        <f t="shared" ca="1" si="5"/>
        <v/>
      </c>
      <c r="S36" s="83" t="str">
        <f ca="1">IF(B36="","",IF($B$2="R&amp;T Level 5 - Clinical Lecturers (Vet School)",SUMIF('Points Lookup'!$V:$V,$B36,'Points Lookup'!$W:$W),IF($B$2="R&amp;T Level 6 - Clinical Associate Professors and Clinical Readers (Vet School)",SUMIF('Points Lookup'!$AC:$AC,$B36,'Points Lookup'!$AD:$AD),"")))</f>
        <v/>
      </c>
      <c r="T36" s="84" t="str">
        <f ca="1">IF(B36="","",IF($B$2="R&amp;T Level 5 - Clinical Lecturers (Vet School)",$C36-SUMIF('Points Lookup'!$V:$V,$B36,'Points Lookup'!$X:$X),IF($B$2="R&amp;T Level 6 - Clinical Associate Professors and Clinical Readers (Vet School)",$C36-SUMIF('Points Lookup'!$AC:$AC,$B36,'Points Lookup'!$AE:$AE),"")))</f>
        <v/>
      </c>
      <c r="U36" s="83" t="str">
        <f ca="1">IF(B36="","",IF($B$2="R&amp;T Level 5 - Clinical Lecturers (Vet School)",SUMIF('Points Lookup'!$V:$V,$B36,'Points Lookup'!$Z:$Z),IF($B$2="R&amp;T Level 6 - Clinical Associate Professors and Clinical Readers (Vet School)",SUMIF('Points Lookup'!$AC:$AC,$B36,'Points Lookup'!$AG:$AG),"")))</f>
        <v/>
      </c>
      <c r="V36" s="84" t="str">
        <f t="shared" ca="1" si="0"/>
        <v/>
      </c>
      <c r="AA36" s="174">
        <v>30</v>
      </c>
    </row>
    <row r="37" spans="2:27" x14ac:dyDescent="0.25">
      <c r="B37" s="68" t="str">
        <f ca="1">IFERROR(INDEX('Points Lookup'!$A:$A,MATCH($AA37,'Points Lookup'!$AN:$AN,0)),"")</f>
        <v/>
      </c>
      <c r="C37" s="81" t="str">
        <f ca="1">IF(B37="","",SUMIF(INDIRECT("'Points Lookup'!"&amp;VLOOKUP($B$2,Grades!A:BU,72,FALSE)&amp;":"&amp;VLOOKUP($B$2,Grades!A:BU,72,FALSE)),B37,INDIRECT("'Points Lookup'!"&amp;VLOOKUP($B$2,Grades!A:BU,73,FALSE)&amp;":"&amp;VLOOKUP($B$2,Grades!A:BU,73,FALSE))))</f>
        <v/>
      </c>
      <c r="D37" s="82" t="str">
        <f ca="1">IF(B37="","",IF(AND(VLOOKUP($B$2,Grades!$A:$BS,71,0)="Y",B37&lt;8),VLOOKUP($B37,Thresholds_Rates!$I$15:$J$19,2,FALSE),"-"))</f>
        <v/>
      </c>
      <c r="E37" s="81"/>
      <c r="F37" s="81" t="str">
        <f ca="1">IF($B37="","",IF(SUMIF(Grades!$A:$A,$B$2,Grades!$BO:$BO)=0,"-",IF(AND(VLOOKUP($B$2,Grades!$A:$BV,74,FALSE)="YES",B37&lt;Thresholds_Rates!$C$16),"-",$C37*Thresholds_Rates!$F$15)))</f>
        <v/>
      </c>
      <c r="G37" s="81" t="str">
        <f ca="1">IF(B37="","",IF(OR($B$2="Salary Points 3 to 57",$B$2="Salary Points 3 to 57 (post-pay award)"),"-",IF(SUMIF(Grades!$A:$A,$B$2,Grades!$BP:$BP)=0,"-",$C37*Thresholds_Rates!$F$16)))</f>
        <v/>
      </c>
      <c r="H37" s="81" t="str">
        <f ca="1">IF(B37="","",IF($B$2="Apprenticeship","-",IF(SUMIF(Grades!$A:$A,$B$2,Grades!$BQ:$BQ)=0,"-",IF(AND(VLOOKUP($B$2,Grades!$A:$BW,75,FALSE)="YES",B37&gt;Thresholds_Rates!$C$17),"-",$C37*Thresholds_Rates!$F$17))))</f>
        <v/>
      </c>
      <c r="I37" s="81" t="str">
        <f ca="1">IF($B37="","",IF($C37=0,0,ROUND(($C37-(Thresholds_Rates!$C$5*12))*Thresholds_Rates!$C$10,0)))</f>
        <v/>
      </c>
      <c r="J37" s="81" t="str">
        <f ca="1">IF(B37="","",(C37*Thresholds_Rates!$C$12))</f>
        <v/>
      </c>
      <c r="K37" s="81" t="str">
        <f ca="1">IF(B37="","",IF(SUMIF(Grades!$A:$A,$B$2,Grades!$BR:$BR)=0,"-",IF(AND(VLOOKUP($B$2,Grades!$A:$BW,75,FALSE)="YES",B37&gt;Thresholds_Rates!$C$17),"-",$C37*Thresholds_Rates!$F$18)))</f>
        <v/>
      </c>
      <c r="L37" s="68"/>
      <c r="M37" s="81" t="str">
        <f t="shared" ca="1" si="1"/>
        <v/>
      </c>
      <c r="N37" s="81" t="str">
        <f t="shared" ca="1" si="2"/>
        <v/>
      </c>
      <c r="O37" s="81" t="str">
        <f t="shared" ca="1" si="3"/>
        <v/>
      </c>
      <c r="P37" s="81" t="str">
        <f t="shared" ca="1" si="4"/>
        <v/>
      </c>
      <c r="Q37" s="81" t="str">
        <f t="shared" ca="1" si="5"/>
        <v/>
      </c>
      <c r="S37" s="83" t="str">
        <f ca="1">IF(B37="","",IF($B$2="R&amp;T Level 5 - Clinical Lecturers (Vet School)",SUMIF('Points Lookup'!$V:$V,$B37,'Points Lookup'!$W:$W),IF($B$2="R&amp;T Level 6 - Clinical Associate Professors and Clinical Readers (Vet School)",SUMIF('Points Lookup'!$AC:$AC,$B37,'Points Lookup'!$AD:$AD),"")))</f>
        <v/>
      </c>
      <c r="T37" s="84" t="str">
        <f ca="1">IF(B37="","",IF($B$2="R&amp;T Level 5 - Clinical Lecturers (Vet School)",$C37-SUMIF('Points Lookup'!$V:$V,$B37,'Points Lookup'!$X:$X),IF($B$2="R&amp;T Level 6 - Clinical Associate Professors and Clinical Readers (Vet School)",$C37-SUMIF('Points Lookup'!$AC:$AC,$B37,'Points Lookup'!$AE:$AE),"")))</f>
        <v/>
      </c>
      <c r="U37" s="83" t="str">
        <f ca="1">IF(B37="","",IF($B$2="R&amp;T Level 5 - Clinical Lecturers (Vet School)",SUMIF('Points Lookup'!$V:$V,$B37,'Points Lookup'!$Z:$Z),IF($B$2="R&amp;T Level 6 - Clinical Associate Professors and Clinical Readers (Vet School)",SUMIF('Points Lookup'!$AC:$AC,$B37,'Points Lookup'!$AG:$AG),"")))</f>
        <v/>
      </c>
      <c r="V37" s="84" t="str">
        <f t="shared" ca="1" si="0"/>
        <v/>
      </c>
      <c r="AA37" s="174">
        <v>31</v>
      </c>
    </row>
    <row r="38" spans="2:27" x14ac:dyDescent="0.25">
      <c r="B38" s="68" t="str">
        <f ca="1">IFERROR(INDEX('Points Lookup'!$A:$A,MATCH($AA38,'Points Lookup'!$AN:$AN,0)),"")</f>
        <v/>
      </c>
      <c r="C38" s="81" t="str">
        <f ca="1">IF(B38="","",SUMIF(INDIRECT("'Points Lookup'!"&amp;VLOOKUP($B$2,Grades!A:BU,72,FALSE)&amp;":"&amp;VLOOKUP($B$2,Grades!A:BU,72,FALSE)),B38,INDIRECT("'Points Lookup'!"&amp;VLOOKUP($B$2,Grades!A:BU,73,FALSE)&amp;":"&amp;VLOOKUP($B$2,Grades!A:BU,73,FALSE))))</f>
        <v/>
      </c>
      <c r="D38" s="82" t="str">
        <f ca="1">IF(B38="","",IF(AND(VLOOKUP($B$2,Grades!$A:$BS,71,0)="Y",B38&lt;8),VLOOKUP($B38,Thresholds_Rates!$I$15:$J$19,2,FALSE),"-"))</f>
        <v/>
      </c>
      <c r="E38" s="81"/>
      <c r="F38" s="81" t="str">
        <f ca="1">IF($B38="","",IF(SUMIF(Grades!$A:$A,$B$2,Grades!$BO:$BO)=0,"-",IF(AND(VLOOKUP($B$2,Grades!$A:$BV,74,FALSE)="YES",B38&lt;Thresholds_Rates!$C$16),"-",$C38*Thresholds_Rates!$F$15)))</f>
        <v/>
      </c>
      <c r="G38" s="81" t="str">
        <f ca="1">IF(B38="","",IF(OR($B$2="Salary Points 3 to 57",$B$2="Salary Points 3 to 57 (post-pay award)"),"-",IF(SUMIF(Grades!$A:$A,$B$2,Grades!$BP:$BP)=0,"-",$C38*Thresholds_Rates!$F$16)))</f>
        <v/>
      </c>
      <c r="H38" s="81" t="str">
        <f ca="1">IF(B38="","",IF($B$2="Apprenticeship","-",IF(SUMIF(Grades!$A:$A,$B$2,Grades!$BQ:$BQ)=0,"-",IF(AND(VLOOKUP($B$2,Grades!$A:$BW,75,FALSE)="YES",B38&gt;Thresholds_Rates!$C$17),"-",$C38*Thresholds_Rates!$F$17))))</f>
        <v/>
      </c>
      <c r="I38" s="81" t="str">
        <f ca="1">IF($B38="","",IF($C38=0,0,ROUND(($C38-(Thresholds_Rates!$C$5*12))*Thresholds_Rates!$C$10,0)))</f>
        <v/>
      </c>
      <c r="J38" s="81" t="str">
        <f ca="1">IF(B38="","",(C38*Thresholds_Rates!$C$12))</f>
        <v/>
      </c>
      <c r="K38" s="81" t="str">
        <f ca="1">IF(B38="","",IF(SUMIF(Grades!$A:$A,$B$2,Grades!$BR:$BR)=0,"-",IF(AND(VLOOKUP($B$2,Grades!$A:$BW,75,FALSE)="YES",B38&gt;Thresholds_Rates!$C$17),"-",$C38*Thresholds_Rates!$F$18)))</f>
        <v/>
      </c>
      <c r="L38" s="68"/>
      <c r="M38" s="81" t="str">
        <f t="shared" ca="1" si="1"/>
        <v/>
      </c>
      <c r="N38" s="81" t="str">
        <f t="shared" ca="1" si="2"/>
        <v/>
      </c>
      <c r="O38" s="81" t="str">
        <f t="shared" ca="1" si="3"/>
        <v/>
      </c>
      <c r="P38" s="81" t="str">
        <f t="shared" ca="1" si="4"/>
        <v/>
      </c>
      <c r="Q38" s="81" t="str">
        <f t="shared" ca="1" si="5"/>
        <v/>
      </c>
      <c r="S38" s="83" t="str">
        <f ca="1">IF(B38="","",IF($B$2="R&amp;T Level 5 - Clinical Lecturers (Vet School)",SUMIF('Points Lookup'!$V:$V,$B38,'Points Lookup'!$W:$W),IF($B$2="R&amp;T Level 6 - Clinical Associate Professors and Clinical Readers (Vet School)",SUMIF('Points Lookup'!$AC:$AC,$B38,'Points Lookup'!$AD:$AD),"")))</f>
        <v/>
      </c>
      <c r="T38" s="84" t="str">
        <f ca="1">IF(B38="","",IF($B$2="R&amp;T Level 5 - Clinical Lecturers (Vet School)",$C38-SUMIF('Points Lookup'!$V:$V,$B38,'Points Lookup'!$X:$X),IF($B$2="R&amp;T Level 6 - Clinical Associate Professors and Clinical Readers (Vet School)",$C38-SUMIF('Points Lookup'!$AC:$AC,$B38,'Points Lookup'!$AE:$AE),"")))</f>
        <v/>
      </c>
      <c r="U38" s="83" t="str">
        <f ca="1">IF(B38="","",IF($B$2="R&amp;T Level 5 - Clinical Lecturers (Vet School)",SUMIF('Points Lookup'!$V:$V,$B38,'Points Lookup'!$Z:$Z),IF($B$2="R&amp;T Level 6 - Clinical Associate Professors and Clinical Readers (Vet School)",SUMIF('Points Lookup'!$AC:$AC,$B38,'Points Lookup'!$AG:$AG),"")))</f>
        <v/>
      </c>
      <c r="V38" s="84" t="str">
        <f t="shared" ca="1" si="0"/>
        <v/>
      </c>
      <c r="AA38" s="174">
        <v>32</v>
      </c>
    </row>
    <row r="39" spans="2:27" x14ac:dyDescent="0.25">
      <c r="B39" s="68" t="str">
        <f ca="1">IFERROR(INDEX('Points Lookup'!$A:$A,MATCH($AA39,'Points Lookup'!$AN:$AN,0)),"")</f>
        <v/>
      </c>
      <c r="C39" s="81" t="str">
        <f ca="1">IF(B39="","",SUMIF(INDIRECT("'Points Lookup'!"&amp;VLOOKUP($B$2,Grades!A:BU,72,FALSE)&amp;":"&amp;VLOOKUP($B$2,Grades!A:BU,72,FALSE)),B39,INDIRECT("'Points Lookup'!"&amp;VLOOKUP($B$2,Grades!A:BU,73,FALSE)&amp;":"&amp;VLOOKUP($B$2,Grades!A:BU,73,FALSE))))</f>
        <v/>
      </c>
      <c r="D39" s="82" t="str">
        <f ca="1">IF(B39="","",IF(AND(VLOOKUP($B$2,Grades!$A:$BS,71,0)="Y",B39&lt;8),VLOOKUP($B39,Thresholds_Rates!$I$15:$J$19,2,FALSE),"-"))</f>
        <v/>
      </c>
      <c r="E39" s="81"/>
      <c r="F39" s="81" t="str">
        <f ca="1">IF($B39="","",IF(SUMIF(Grades!$A:$A,$B$2,Grades!$BO:$BO)=0,"-",IF(AND(VLOOKUP($B$2,Grades!$A:$BV,74,FALSE)="YES",B39&lt;Thresholds_Rates!$C$16),"-",$C39*Thresholds_Rates!$F$15)))</f>
        <v/>
      </c>
      <c r="G39" s="81" t="str">
        <f ca="1">IF(B39="","",IF(OR($B$2="Salary Points 3 to 57",$B$2="Salary Points 3 to 57 (post-pay award)"),"-",IF(SUMIF(Grades!$A:$A,$B$2,Grades!$BP:$BP)=0,"-",$C39*Thresholds_Rates!$F$16)))</f>
        <v/>
      </c>
      <c r="H39" s="81" t="str">
        <f ca="1">IF(B39="","",IF($B$2="Apprenticeship","-",IF(SUMIF(Grades!$A:$A,$B$2,Grades!$BQ:$BQ)=0,"-",IF(AND(VLOOKUP($B$2,Grades!$A:$BW,75,FALSE)="YES",B39&gt;Thresholds_Rates!$C$17),"-",$C39*Thresholds_Rates!$F$17))))</f>
        <v/>
      </c>
      <c r="I39" s="81" t="str">
        <f ca="1">IF($B39="","",IF($C39=0,0,ROUND(($C39-(Thresholds_Rates!$C$5*12))*Thresholds_Rates!$C$10,0)))</f>
        <v/>
      </c>
      <c r="J39" s="81" t="str">
        <f ca="1">IF(B39="","",(C39*Thresholds_Rates!$C$12))</f>
        <v/>
      </c>
      <c r="K39" s="81" t="str">
        <f ca="1">IF(B39="","",IF(SUMIF(Grades!$A:$A,$B$2,Grades!$BR:$BR)=0,"-",IF(AND(VLOOKUP($B$2,Grades!$A:$BW,75,FALSE)="YES",B39&gt;Thresholds_Rates!$C$17),"-",$C39*Thresholds_Rates!$F$18)))</f>
        <v/>
      </c>
      <c r="L39" s="68"/>
      <c r="M39" s="81" t="str">
        <f t="shared" ca="1" si="1"/>
        <v/>
      </c>
      <c r="N39" s="81" t="str">
        <f t="shared" ca="1" si="2"/>
        <v/>
      </c>
      <c r="O39" s="81" t="str">
        <f t="shared" ca="1" si="3"/>
        <v/>
      </c>
      <c r="P39" s="81" t="str">
        <f t="shared" ca="1" si="4"/>
        <v/>
      </c>
      <c r="Q39" s="81" t="str">
        <f t="shared" ca="1" si="5"/>
        <v/>
      </c>
      <c r="S39" s="83" t="str">
        <f ca="1">IF(B39="","",IF($B$2="R&amp;T Level 5 - Clinical Lecturers (Vet School)",SUMIF('Points Lookup'!$V:$V,$B39,'Points Lookup'!$W:$W),IF($B$2="R&amp;T Level 6 - Clinical Associate Professors and Clinical Readers (Vet School)",SUMIF('Points Lookup'!$AC:$AC,$B39,'Points Lookup'!$AD:$AD),"")))</f>
        <v/>
      </c>
      <c r="T39" s="84" t="str">
        <f ca="1">IF(B39="","",IF($B$2="R&amp;T Level 5 - Clinical Lecturers (Vet School)",$C39-SUMIF('Points Lookup'!$V:$V,$B39,'Points Lookup'!$X:$X),IF($B$2="R&amp;T Level 6 - Clinical Associate Professors and Clinical Readers (Vet School)",$C39-SUMIF('Points Lookup'!$AC:$AC,$B39,'Points Lookup'!$AE:$AE),"")))</f>
        <v/>
      </c>
      <c r="U39" s="83" t="str">
        <f ca="1">IF(B39="","",IF($B$2="R&amp;T Level 5 - Clinical Lecturers (Vet School)",SUMIF('Points Lookup'!$V:$V,$B39,'Points Lookup'!$Z:$Z),IF($B$2="R&amp;T Level 6 - Clinical Associate Professors and Clinical Readers (Vet School)",SUMIF('Points Lookup'!$AC:$AC,$B39,'Points Lookup'!$AG:$AG),"")))</f>
        <v/>
      </c>
      <c r="V39" s="84" t="str">
        <f t="shared" ref="V39:V70" ca="1" si="6">IF(B39="","",IF($B$2="R&amp;T Level 5 - Clinical Lecturers (Vet School)",ROUND(C39*U39,0),IF($B$2="R&amp;T Level 6 - Clinical Associate Professors and Clinical Readers (Vet School)",ROUND(C39*U39,0),"")))</f>
        <v/>
      </c>
      <c r="AA39" s="174">
        <v>33</v>
      </c>
    </row>
    <row r="40" spans="2:27" x14ac:dyDescent="0.25">
      <c r="B40" s="68" t="str">
        <f ca="1">IFERROR(INDEX('Points Lookup'!$A:$A,MATCH($AA40,'Points Lookup'!$AN:$AN,0)),"")</f>
        <v/>
      </c>
      <c r="C40" s="81" t="str">
        <f ca="1">IF(B40="","",SUMIF(INDIRECT("'Points Lookup'!"&amp;VLOOKUP($B$2,Grades!A:BU,72,FALSE)&amp;":"&amp;VLOOKUP($B$2,Grades!A:BU,72,FALSE)),B40,INDIRECT("'Points Lookup'!"&amp;VLOOKUP($B$2,Grades!A:BU,73,FALSE)&amp;":"&amp;VLOOKUP($B$2,Grades!A:BU,73,FALSE))))</f>
        <v/>
      </c>
      <c r="D40" s="82" t="str">
        <f ca="1">IF(B40="","",IF(AND(VLOOKUP($B$2,Grades!$A:$BS,71,0)="Y",B40&lt;8),VLOOKUP($B40,Thresholds_Rates!$I$15:$J$19,2,FALSE),"-"))</f>
        <v/>
      </c>
      <c r="E40" s="81"/>
      <c r="F40" s="81" t="str">
        <f ca="1">IF($B40="","",IF(SUMIF(Grades!$A:$A,$B$2,Grades!$BO:$BO)=0,"-",IF(AND(VLOOKUP($B$2,Grades!$A:$BV,74,FALSE)="YES",B40&lt;Thresholds_Rates!$C$16),"-",$C40*Thresholds_Rates!$F$15)))</f>
        <v/>
      </c>
      <c r="G40" s="81" t="str">
        <f ca="1">IF(B40="","",IF(OR($B$2="Salary Points 3 to 57",$B$2="Salary Points 3 to 57 (post-pay award)"),"-",IF(SUMIF(Grades!$A:$A,$B$2,Grades!$BP:$BP)=0,"-",$C40*Thresholds_Rates!$F$16)))</f>
        <v/>
      </c>
      <c r="H40" s="81" t="str">
        <f ca="1">IF(B40="","",IF($B$2="Apprenticeship","-",IF(SUMIF(Grades!$A:$A,$B$2,Grades!$BQ:$BQ)=0,"-",IF(AND(VLOOKUP($B$2,Grades!$A:$BW,75,FALSE)="YES",B40&gt;Thresholds_Rates!$C$17),"-",$C40*Thresholds_Rates!$F$17))))</f>
        <v/>
      </c>
      <c r="I40" s="81" t="str">
        <f ca="1">IF($B40="","",IF($C40=0,0,ROUND(($C40-(Thresholds_Rates!$C$5*12))*Thresholds_Rates!$C$10,0)))</f>
        <v/>
      </c>
      <c r="J40" s="81" t="str">
        <f ca="1">IF(B40="","",(C40*Thresholds_Rates!$C$12))</f>
        <v/>
      </c>
      <c r="K40" s="81" t="str">
        <f ca="1">IF(B40="","",IF(SUMIF(Grades!$A:$A,$B$2,Grades!$BR:$BR)=0,"-",IF(AND(VLOOKUP($B$2,Grades!$A:$BW,75,FALSE)="YES",B40&gt;Thresholds_Rates!$C$17),"-",$C40*Thresholds_Rates!$F$18)))</f>
        <v/>
      </c>
      <c r="L40" s="68"/>
      <c r="M40" s="81" t="str">
        <f t="shared" ca="1" si="1"/>
        <v/>
      </c>
      <c r="N40" s="81" t="str">
        <f t="shared" ca="1" si="2"/>
        <v/>
      </c>
      <c r="O40" s="81" t="str">
        <f t="shared" ca="1" si="3"/>
        <v/>
      </c>
      <c r="P40" s="81" t="str">
        <f t="shared" ca="1" si="4"/>
        <v/>
      </c>
      <c r="Q40" s="81" t="str">
        <f t="shared" ca="1" si="5"/>
        <v/>
      </c>
      <c r="S40" s="83" t="str">
        <f ca="1">IF(B40="","",IF($B$2="R&amp;T Level 5 - Clinical Lecturers (Vet School)",SUMIF('Points Lookup'!$V:$V,$B40,'Points Lookup'!$W:$W),IF($B$2="R&amp;T Level 6 - Clinical Associate Professors and Clinical Readers (Vet School)",SUMIF('Points Lookup'!$AC:$AC,$B40,'Points Lookup'!$AD:$AD),"")))</f>
        <v/>
      </c>
      <c r="T40" s="84" t="str">
        <f ca="1">IF(B40="","",IF($B$2="R&amp;T Level 5 - Clinical Lecturers (Vet School)",$C40-SUMIF('Points Lookup'!$V:$V,$B40,'Points Lookup'!$X:$X),IF($B$2="R&amp;T Level 6 - Clinical Associate Professors and Clinical Readers (Vet School)",$C40-SUMIF('Points Lookup'!$AC:$AC,$B40,'Points Lookup'!$AE:$AE),"")))</f>
        <v/>
      </c>
      <c r="U40" s="83" t="str">
        <f ca="1">IF(B40="","",IF($B$2="R&amp;T Level 5 - Clinical Lecturers (Vet School)",SUMIF('Points Lookup'!$V:$V,$B40,'Points Lookup'!$Z:$Z),IF($B$2="R&amp;T Level 6 - Clinical Associate Professors and Clinical Readers (Vet School)",SUMIF('Points Lookup'!$AC:$AC,$B40,'Points Lookup'!$AG:$AG),"")))</f>
        <v/>
      </c>
      <c r="V40" s="84" t="str">
        <f t="shared" ca="1" si="6"/>
        <v/>
      </c>
      <c r="AA40" s="174">
        <v>34</v>
      </c>
    </row>
    <row r="41" spans="2:27" x14ac:dyDescent="0.25">
      <c r="B41" s="68" t="str">
        <f ca="1">IFERROR(INDEX('Points Lookup'!$A:$A,MATCH($AA41,'Points Lookup'!$AN:$AN,0)),"")</f>
        <v/>
      </c>
      <c r="C41" s="81" t="str">
        <f ca="1">IF(B41="","",SUMIF(INDIRECT("'Points Lookup'!"&amp;VLOOKUP($B$2,Grades!A:BU,72,FALSE)&amp;":"&amp;VLOOKUP($B$2,Grades!A:BU,72,FALSE)),B41,INDIRECT("'Points Lookup'!"&amp;VLOOKUP($B$2,Grades!A:BU,73,FALSE)&amp;":"&amp;VLOOKUP($B$2,Grades!A:BU,73,FALSE))))</f>
        <v/>
      </c>
      <c r="D41" s="82" t="str">
        <f ca="1">IF(B41="","",IF(AND(VLOOKUP($B$2,Grades!$A:$BS,71,0)="Y",B41&lt;8),VLOOKUP($B41,Thresholds_Rates!$I$15:$J$19,2,FALSE),"-"))</f>
        <v/>
      </c>
      <c r="E41" s="81"/>
      <c r="F41" s="81" t="str">
        <f ca="1">IF($B41="","",IF(SUMIF(Grades!$A:$A,$B$2,Grades!$BO:$BO)=0,"-",IF(AND(VLOOKUP($B$2,Grades!$A:$BV,74,FALSE)="YES",B41&lt;Thresholds_Rates!$C$16),"-",$C41*Thresholds_Rates!$F$15)))</f>
        <v/>
      </c>
      <c r="G41" s="81" t="str">
        <f ca="1">IF(B41="","",IF(OR($B$2="Salary Points 3 to 57",$B$2="Salary Points 3 to 57 (post-pay award)"),"-",IF(SUMIF(Grades!$A:$A,$B$2,Grades!$BP:$BP)=0,"-",$C41*Thresholds_Rates!$F$16)))</f>
        <v/>
      </c>
      <c r="H41" s="81" t="str">
        <f ca="1">IF(B41="","",IF($B$2="Apprenticeship","-",IF(SUMIF(Grades!$A:$A,$B$2,Grades!$BQ:$BQ)=0,"-",IF(AND(VLOOKUP($B$2,Grades!$A:$BW,75,FALSE)="YES",B41&gt;Thresholds_Rates!$C$17),"-",$C41*Thresholds_Rates!$F$17))))</f>
        <v/>
      </c>
      <c r="I41" s="81" t="str">
        <f ca="1">IF($B41="","",IF($C41=0,0,ROUND(($C41-(Thresholds_Rates!$C$5*12))*Thresholds_Rates!$C$10,0)))</f>
        <v/>
      </c>
      <c r="J41" s="81" t="str">
        <f ca="1">IF(B41="","",(C41*Thresholds_Rates!$C$12))</f>
        <v/>
      </c>
      <c r="K41" s="81" t="str">
        <f ca="1">IF(B41="","",IF(SUMIF(Grades!$A:$A,$B$2,Grades!$BR:$BR)=0,"-",IF(AND(VLOOKUP($B$2,Grades!$A:$BW,75,FALSE)="YES",B41&gt;Thresholds_Rates!$C$17),"-",$C41*Thresholds_Rates!$F$18)))</f>
        <v/>
      </c>
      <c r="L41" s="68"/>
      <c r="M41" s="81" t="str">
        <f t="shared" ca="1" si="1"/>
        <v/>
      </c>
      <c r="N41" s="81" t="str">
        <f t="shared" ca="1" si="2"/>
        <v/>
      </c>
      <c r="O41" s="81" t="str">
        <f t="shared" ca="1" si="3"/>
        <v/>
      </c>
      <c r="P41" s="81" t="str">
        <f t="shared" ca="1" si="4"/>
        <v/>
      </c>
      <c r="Q41" s="81" t="str">
        <f t="shared" ca="1" si="5"/>
        <v/>
      </c>
      <c r="S41" s="83" t="str">
        <f ca="1">IF(B41="","",IF($B$2="R&amp;T Level 5 - Clinical Lecturers (Vet School)",SUMIF('Points Lookup'!$V:$V,$B41,'Points Lookup'!$W:$W),IF($B$2="R&amp;T Level 6 - Clinical Associate Professors and Clinical Readers (Vet School)",SUMIF('Points Lookup'!$AC:$AC,$B41,'Points Lookup'!$AD:$AD),"")))</f>
        <v/>
      </c>
      <c r="T41" s="84" t="str">
        <f ca="1">IF(B41="","",IF($B$2="R&amp;T Level 5 - Clinical Lecturers (Vet School)",$C41-SUMIF('Points Lookup'!$V:$V,$B41,'Points Lookup'!$X:$X),IF($B$2="R&amp;T Level 6 - Clinical Associate Professors and Clinical Readers (Vet School)",$C41-SUMIF('Points Lookup'!$AC:$AC,$B41,'Points Lookup'!$AE:$AE),"")))</f>
        <v/>
      </c>
      <c r="U41" s="83" t="str">
        <f ca="1">IF(B41="","",IF($B$2="R&amp;T Level 5 - Clinical Lecturers (Vet School)",SUMIF('Points Lookup'!$V:$V,$B41,'Points Lookup'!$Z:$Z),IF($B$2="R&amp;T Level 6 - Clinical Associate Professors and Clinical Readers (Vet School)",SUMIF('Points Lookup'!$AC:$AC,$B41,'Points Lookup'!$AG:$AG),"")))</f>
        <v/>
      </c>
      <c r="V41" s="84" t="str">
        <f t="shared" ca="1" si="6"/>
        <v/>
      </c>
      <c r="AA41" s="174">
        <v>35</v>
      </c>
    </row>
    <row r="42" spans="2:27" x14ac:dyDescent="0.25">
      <c r="B42" s="68" t="str">
        <f ca="1">IFERROR(INDEX('Points Lookup'!$A:$A,MATCH($AA42,'Points Lookup'!$AN:$AN,0)),"")</f>
        <v/>
      </c>
      <c r="C42" s="81" t="str">
        <f ca="1">IF(B42="","",SUMIF(INDIRECT("'Points Lookup'!"&amp;VLOOKUP($B$2,Grades!A:BU,72,FALSE)&amp;":"&amp;VLOOKUP($B$2,Grades!A:BU,72,FALSE)),B42,INDIRECT("'Points Lookup'!"&amp;VLOOKUP($B$2,Grades!A:BU,73,FALSE)&amp;":"&amp;VLOOKUP($B$2,Grades!A:BU,73,FALSE))))</f>
        <v/>
      </c>
      <c r="D42" s="82" t="str">
        <f ca="1">IF(B42="","",IF(AND(VLOOKUP($B$2,Grades!$A:$BS,71,0)="Y",B42&lt;8),VLOOKUP($B42,Thresholds_Rates!$I$15:$J$19,2,FALSE),"-"))</f>
        <v/>
      </c>
      <c r="E42" s="81"/>
      <c r="F42" s="81" t="str">
        <f ca="1">IF($B42="","",IF(SUMIF(Grades!$A:$A,$B$2,Grades!$BO:$BO)=0,"-",IF(AND(VLOOKUP($B$2,Grades!$A:$BV,74,FALSE)="YES",B42&lt;Thresholds_Rates!$C$16),"-",$C42*Thresholds_Rates!$F$15)))</f>
        <v/>
      </c>
      <c r="G42" s="81" t="str">
        <f ca="1">IF(B42="","",IF(OR($B$2="Salary Points 3 to 57",$B$2="Salary Points 3 to 57 (post-pay award)"),"-",IF(SUMIF(Grades!$A:$A,$B$2,Grades!$BP:$BP)=0,"-",$C42*Thresholds_Rates!$F$16)))</f>
        <v/>
      </c>
      <c r="H42" s="81" t="str">
        <f ca="1">IF(B42="","",IF($B$2="Apprenticeship","-",IF(SUMIF(Grades!$A:$A,$B$2,Grades!$BQ:$BQ)=0,"-",IF(AND(VLOOKUP($B$2,Grades!$A:$BW,75,FALSE)="YES",B42&gt;Thresholds_Rates!$C$17),"-",$C42*Thresholds_Rates!$F$17))))</f>
        <v/>
      </c>
      <c r="I42" s="81" t="str">
        <f ca="1">IF($B42="","",IF($C42=0,0,ROUND(($C42-(Thresholds_Rates!$C$5*12))*Thresholds_Rates!$C$10,0)))</f>
        <v/>
      </c>
      <c r="J42" s="81" t="str">
        <f ca="1">IF(B42="","",(C42*Thresholds_Rates!$C$12))</f>
        <v/>
      </c>
      <c r="K42" s="81" t="str">
        <f ca="1">IF(B42="","",IF(SUMIF(Grades!$A:$A,$B$2,Grades!$BR:$BR)=0,"-",IF(AND(VLOOKUP($B$2,Grades!$A:$BW,75,FALSE)="YES",B42&gt;Thresholds_Rates!$C$17),"-",$C42*Thresholds_Rates!$F$18)))</f>
        <v/>
      </c>
      <c r="L42" s="68"/>
      <c r="M42" s="81" t="str">
        <f t="shared" ca="1" si="1"/>
        <v/>
      </c>
      <c r="N42" s="81" t="str">
        <f t="shared" ca="1" si="2"/>
        <v/>
      </c>
      <c r="O42" s="81" t="str">
        <f t="shared" ca="1" si="3"/>
        <v/>
      </c>
      <c r="P42" s="81" t="str">
        <f t="shared" ca="1" si="4"/>
        <v/>
      </c>
      <c r="Q42" s="81" t="str">
        <f t="shared" ca="1" si="5"/>
        <v/>
      </c>
      <c r="S42" s="83" t="str">
        <f ca="1">IF(B42="","",IF($B$2="R&amp;T Level 5 - Clinical Lecturers (Vet School)",SUMIF('Points Lookup'!$V:$V,$B42,'Points Lookup'!$W:$W),IF($B$2="R&amp;T Level 6 - Clinical Associate Professors and Clinical Readers (Vet School)",SUMIF('Points Lookup'!$AC:$AC,$B42,'Points Lookup'!$AD:$AD),"")))</f>
        <v/>
      </c>
      <c r="T42" s="84" t="str">
        <f ca="1">IF(B42="","",IF($B$2="R&amp;T Level 5 - Clinical Lecturers (Vet School)",$C42-SUMIF('Points Lookup'!$V:$V,$B42,'Points Lookup'!$X:$X),IF($B$2="R&amp;T Level 6 - Clinical Associate Professors and Clinical Readers (Vet School)",$C42-SUMIF('Points Lookup'!$AC:$AC,$B42,'Points Lookup'!$AE:$AE),"")))</f>
        <v/>
      </c>
      <c r="U42" s="83" t="str">
        <f ca="1">IF(B42="","",IF($B$2="R&amp;T Level 5 - Clinical Lecturers (Vet School)",SUMIF('Points Lookup'!$V:$V,$B42,'Points Lookup'!$Z:$Z),IF($B$2="R&amp;T Level 6 - Clinical Associate Professors and Clinical Readers (Vet School)",SUMIF('Points Lookup'!$AC:$AC,$B42,'Points Lookup'!$AG:$AG),"")))</f>
        <v/>
      </c>
      <c r="V42" s="84" t="str">
        <f t="shared" ca="1" si="6"/>
        <v/>
      </c>
      <c r="AA42" s="174">
        <v>36</v>
      </c>
    </row>
    <row r="43" spans="2:27" x14ac:dyDescent="0.25">
      <c r="B43" s="68" t="str">
        <f ca="1">IFERROR(INDEX('Points Lookup'!$A:$A,MATCH($AA43,'Points Lookup'!$AN:$AN,0)),"")</f>
        <v/>
      </c>
      <c r="C43" s="81" t="str">
        <f ca="1">IF(B43="","",SUMIF(INDIRECT("'Points Lookup'!"&amp;VLOOKUP($B$2,Grades!A:BU,72,FALSE)&amp;":"&amp;VLOOKUP($B$2,Grades!A:BU,72,FALSE)),B43,INDIRECT("'Points Lookup'!"&amp;VLOOKUP($B$2,Grades!A:BU,73,FALSE)&amp;":"&amp;VLOOKUP($B$2,Grades!A:BU,73,FALSE))))</f>
        <v/>
      </c>
      <c r="D43" s="82" t="str">
        <f ca="1">IF(B43="","",IF(AND(VLOOKUP($B$2,Grades!$A:$BS,71,0)="Y",B43&lt;8),VLOOKUP($B43,Thresholds_Rates!$I$15:$J$19,2,FALSE),"-"))</f>
        <v/>
      </c>
      <c r="E43" s="81"/>
      <c r="F43" s="81" t="str">
        <f ca="1">IF($B43="","",IF(SUMIF(Grades!$A:$A,$B$2,Grades!$BO:$BO)=0,"-",IF(AND(VLOOKUP($B$2,Grades!$A:$BV,74,FALSE)="YES",B43&lt;Thresholds_Rates!$C$16),"-",$C43*Thresholds_Rates!$F$15)))</f>
        <v/>
      </c>
      <c r="G43" s="81" t="str">
        <f ca="1">IF(B43="","",IF(OR($B$2="Salary Points 3 to 57",$B$2="Salary Points 3 to 57 (post-pay award)"),"-",IF(SUMIF(Grades!$A:$A,$B$2,Grades!$BP:$BP)=0,"-",$C43*Thresholds_Rates!$F$16)))</f>
        <v/>
      </c>
      <c r="H43" s="81" t="str">
        <f ca="1">IF(B43="","",IF($B$2="Apprenticeship","-",IF(SUMIF(Grades!$A:$A,$B$2,Grades!$BQ:$BQ)=0,"-",IF(AND(VLOOKUP($B$2,Grades!$A:$BW,75,FALSE)="YES",B43&gt;Thresholds_Rates!$C$17),"-",$C43*Thresholds_Rates!$F$17))))</f>
        <v/>
      </c>
      <c r="I43" s="81" t="str">
        <f ca="1">IF($B43="","",IF($C43=0,0,ROUND(($C43-(Thresholds_Rates!$C$5*12))*Thresholds_Rates!$C$10,0)))</f>
        <v/>
      </c>
      <c r="J43" s="81" t="str">
        <f ca="1">IF(B43="","",(C43*Thresholds_Rates!$C$12))</f>
        <v/>
      </c>
      <c r="K43" s="81" t="str">
        <f ca="1">IF(B43="","",IF(SUMIF(Grades!$A:$A,$B$2,Grades!$BR:$BR)=0,"-",IF(AND(VLOOKUP($B$2,Grades!$A:$BW,75,FALSE)="YES",B43&gt;Thresholds_Rates!$C$17),"-",$C43*Thresholds_Rates!$F$18)))</f>
        <v/>
      </c>
      <c r="L43" s="68"/>
      <c r="M43" s="81" t="str">
        <f t="shared" ca="1" si="1"/>
        <v/>
      </c>
      <c r="N43" s="81" t="str">
        <f t="shared" ca="1" si="2"/>
        <v/>
      </c>
      <c r="O43" s="81" t="str">
        <f t="shared" ca="1" si="3"/>
        <v/>
      </c>
      <c r="P43" s="81" t="str">
        <f t="shared" ca="1" si="4"/>
        <v/>
      </c>
      <c r="Q43" s="81" t="str">
        <f t="shared" ca="1" si="5"/>
        <v/>
      </c>
      <c r="S43" s="83" t="str">
        <f ca="1">IF(B43="","",IF($B$2="R&amp;T Level 5 - Clinical Lecturers (Vet School)",SUMIF('Points Lookup'!$V:$V,$B43,'Points Lookup'!$W:$W),IF($B$2="R&amp;T Level 6 - Clinical Associate Professors and Clinical Readers (Vet School)",SUMIF('Points Lookup'!$AC:$AC,$B43,'Points Lookup'!$AD:$AD),"")))</f>
        <v/>
      </c>
      <c r="T43" s="84" t="str">
        <f ca="1">IF(B43="","",IF($B$2="R&amp;T Level 5 - Clinical Lecturers (Vet School)",$C43-SUMIF('Points Lookup'!$V:$V,$B43,'Points Lookup'!$X:$X),IF($B$2="R&amp;T Level 6 - Clinical Associate Professors and Clinical Readers (Vet School)",$C43-SUMIF('Points Lookup'!$AC:$AC,$B43,'Points Lookup'!$AE:$AE),"")))</f>
        <v/>
      </c>
      <c r="U43" s="83" t="str">
        <f ca="1">IF(B43="","",IF($B$2="R&amp;T Level 5 - Clinical Lecturers (Vet School)",SUMIF('Points Lookup'!$V:$V,$B43,'Points Lookup'!$Z:$Z),IF($B$2="R&amp;T Level 6 - Clinical Associate Professors and Clinical Readers (Vet School)",SUMIF('Points Lookup'!$AC:$AC,$B43,'Points Lookup'!$AG:$AG),"")))</f>
        <v/>
      </c>
      <c r="V43" s="84" t="str">
        <f t="shared" ca="1" si="6"/>
        <v/>
      </c>
      <c r="AA43" s="174">
        <v>37</v>
      </c>
    </row>
    <row r="44" spans="2:27" x14ac:dyDescent="0.25">
      <c r="B44" s="68" t="str">
        <f ca="1">IFERROR(INDEX('Points Lookup'!$A:$A,MATCH($AA44,'Points Lookup'!$AN:$AN,0)),"")</f>
        <v/>
      </c>
      <c r="C44" s="81" t="str">
        <f ca="1">IF(B44="","",SUMIF(INDIRECT("'Points Lookup'!"&amp;VLOOKUP($B$2,Grades!A:BU,72,FALSE)&amp;":"&amp;VLOOKUP($B$2,Grades!A:BU,72,FALSE)),B44,INDIRECT("'Points Lookup'!"&amp;VLOOKUP($B$2,Grades!A:BU,73,FALSE)&amp;":"&amp;VLOOKUP($B$2,Grades!A:BU,73,FALSE))))</f>
        <v/>
      </c>
      <c r="D44" s="82" t="str">
        <f ca="1">IF(B44="","",IF(AND(VLOOKUP($B$2,Grades!$A:$BS,71,0)="Y",B44&lt;8),VLOOKUP($B44,Thresholds_Rates!$I$15:$J$19,2,FALSE),"-"))</f>
        <v/>
      </c>
      <c r="E44" s="81"/>
      <c r="F44" s="81" t="str">
        <f ca="1">IF($B44="","",IF(SUMIF(Grades!$A:$A,$B$2,Grades!$BO:$BO)=0,"-",IF(AND(VLOOKUP($B$2,Grades!$A:$BV,74,FALSE)="YES",B44&lt;Thresholds_Rates!$C$16),"-",$C44*Thresholds_Rates!$F$15)))</f>
        <v/>
      </c>
      <c r="G44" s="81" t="str">
        <f ca="1">IF(B44="","",IF(OR($B$2="Salary Points 3 to 57",$B$2="Salary Points 3 to 57 (post-pay award)"),"-",IF(SUMIF(Grades!$A:$A,$B$2,Grades!$BP:$BP)=0,"-",$C44*Thresholds_Rates!$F$16)))</f>
        <v/>
      </c>
      <c r="H44" s="81" t="str">
        <f ca="1">IF(B44="","",IF($B$2="Apprenticeship","-",IF(SUMIF(Grades!$A:$A,$B$2,Grades!$BQ:$BQ)=0,"-",IF(AND(VLOOKUP($B$2,Grades!$A:$BW,75,FALSE)="YES",B44&gt;Thresholds_Rates!$C$17),"-",$C44*Thresholds_Rates!$F$17))))</f>
        <v/>
      </c>
      <c r="I44" s="81" t="str">
        <f ca="1">IF($B44="","",IF($C44=0,0,ROUND(($C44-(Thresholds_Rates!$C$5*12))*Thresholds_Rates!$C$10,0)))</f>
        <v/>
      </c>
      <c r="J44" s="81" t="str">
        <f ca="1">IF(B44="","",(C44*Thresholds_Rates!$C$12))</f>
        <v/>
      </c>
      <c r="K44" s="81" t="str">
        <f ca="1">IF(B44="","",IF(SUMIF(Grades!$A:$A,$B$2,Grades!$BR:$BR)=0,"-",IF(AND(VLOOKUP($B$2,Grades!$A:$BW,75,FALSE)="YES",B44&gt;Thresholds_Rates!$C$17),"-",$C44*Thresholds_Rates!$F$18)))</f>
        <v/>
      </c>
      <c r="L44" s="68"/>
      <c r="M44" s="81" t="str">
        <f t="shared" ca="1" si="1"/>
        <v/>
      </c>
      <c r="N44" s="81" t="str">
        <f t="shared" ca="1" si="2"/>
        <v/>
      </c>
      <c r="O44" s="81" t="str">
        <f t="shared" ca="1" si="3"/>
        <v/>
      </c>
      <c r="P44" s="81" t="str">
        <f t="shared" ca="1" si="4"/>
        <v/>
      </c>
      <c r="Q44" s="81" t="str">
        <f t="shared" ca="1" si="5"/>
        <v/>
      </c>
      <c r="S44" s="83" t="str">
        <f ca="1">IF(B44="","",IF($B$2="R&amp;T Level 5 - Clinical Lecturers (Vet School)",SUMIF('Points Lookup'!$V:$V,$B44,'Points Lookup'!$W:$W),IF($B$2="R&amp;T Level 6 - Clinical Associate Professors and Clinical Readers (Vet School)",SUMIF('Points Lookup'!$AC:$AC,$B44,'Points Lookup'!$AD:$AD),"")))</f>
        <v/>
      </c>
      <c r="T44" s="84" t="str">
        <f ca="1">IF(B44="","",IF($B$2="R&amp;T Level 5 - Clinical Lecturers (Vet School)",$C44-SUMIF('Points Lookup'!$V:$V,$B44,'Points Lookup'!$X:$X),IF($B$2="R&amp;T Level 6 - Clinical Associate Professors and Clinical Readers (Vet School)",$C44-SUMIF('Points Lookup'!$AC:$AC,$B44,'Points Lookup'!$AE:$AE),"")))</f>
        <v/>
      </c>
      <c r="U44" s="83" t="str">
        <f ca="1">IF(B44="","",IF($B$2="R&amp;T Level 5 - Clinical Lecturers (Vet School)",SUMIF('Points Lookup'!$V:$V,$B44,'Points Lookup'!$Z:$Z),IF($B$2="R&amp;T Level 6 - Clinical Associate Professors and Clinical Readers (Vet School)",SUMIF('Points Lookup'!$AC:$AC,$B44,'Points Lookup'!$AG:$AG),"")))</f>
        <v/>
      </c>
      <c r="V44" s="84" t="str">
        <f t="shared" ca="1" si="6"/>
        <v/>
      </c>
      <c r="AA44" s="174">
        <v>38</v>
      </c>
    </row>
    <row r="45" spans="2:27" x14ac:dyDescent="0.25">
      <c r="B45" s="68" t="str">
        <f ca="1">IFERROR(INDEX('Points Lookup'!$A:$A,MATCH($AA45,'Points Lookup'!$AN:$AN,0)),"")</f>
        <v/>
      </c>
      <c r="C45" s="81" t="str">
        <f ca="1">IF(B45="","",SUMIF(INDIRECT("'Points Lookup'!"&amp;VLOOKUP($B$2,Grades!A:BU,72,FALSE)&amp;":"&amp;VLOOKUP($B$2,Grades!A:BU,72,FALSE)),B45,INDIRECT("'Points Lookup'!"&amp;VLOOKUP($B$2,Grades!A:BU,73,FALSE)&amp;":"&amp;VLOOKUP($B$2,Grades!A:BU,73,FALSE))))</f>
        <v/>
      </c>
      <c r="D45" s="82" t="str">
        <f ca="1">IF(B45="","",IF(AND(VLOOKUP($B$2,Grades!$A:$BS,71,0)="Y",B45&lt;8),VLOOKUP($B45,Thresholds_Rates!$I$15:$J$19,2,FALSE),"-"))</f>
        <v/>
      </c>
      <c r="E45" s="81"/>
      <c r="F45" s="81" t="str">
        <f ca="1">IF($B45="","",IF(SUMIF(Grades!$A:$A,$B$2,Grades!$BO:$BO)=0,"-",IF(AND(VLOOKUP($B$2,Grades!$A:$BV,74,FALSE)="YES",B45&lt;Thresholds_Rates!$C$16),"-",$C45*Thresholds_Rates!$F$15)))</f>
        <v/>
      </c>
      <c r="G45" s="81" t="str">
        <f ca="1">IF(B45="","",IF(OR($B$2="Salary Points 3 to 57",$B$2="Salary Points 3 to 57 (post-pay award)"),"-",IF(SUMIF(Grades!$A:$A,$B$2,Grades!$BP:$BP)=0,"-",$C45*Thresholds_Rates!$F$16)))</f>
        <v/>
      </c>
      <c r="H45" s="81" t="str">
        <f ca="1">IF(B45="","",IF($B$2="Apprenticeship","-",IF(SUMIF(Grades!$A:$A,$B$2,Grades!$BQ:$BQ)=0,"-",IF(AND(VLOOKUP($B$2,Grades!$A:$BW,75,FALSE)="YES",B45&gt;Thresholds_Rates!$C$17),"-",$C45*Thresholds_Rates!$F$17))))</f>
        <v/>
      </c>
      <c r="I45" s="81" t="str">
        <f ca="1">IF($B45="","",IF($C45=0,0,ROUND(($C45-(Thresholds_Rates!$C$5*12))*Thresholds_Rates!$C$10,0)))</f>
        <v/>
      </c>
      <c r="J45" s="81" t="str">
        <f ca="1">IF(B45="","",(C45*Thresholds_Rates!$C$12))</f>
        <v/>
      </c>
      <c r="K45" s="81" t="str">
        <f ca="1">IF(B45="","",IF(SUMIF(Grades!$A:$A,$B$2,Grades!$BR:$BR)=0,"-",IF(AND(VLOOKUP($B$2,Grades!$A:$BW,75,FALSE)="YES",B45&gt;Thresholds_Rates!$C$17),"-",$C45*Thresholds_Rates!$F$18)))</f>
        <v/>
      </c>
      <c r="L45" s="68"/>
      <c r="M45" s="81" t="str">
        <f t="shared" ca="1" si="1"/>
        <v/>
      </c>
      <c r="N45" s="81" t="str">
        <f t="shared" ca="1" si="2"/>
        <v/>
      </c>
      <c r="O45" s="81" t="str">
        <f t="shared" ca="1" si="3"/>
        <v/>
      </c>
      <c r="P45" s="81" t="str">
        <f t="shared" ca="1" si="4"/>
        <v/>
      </c>
      <c r="Q45" s="81" t="str">
        <f t="shared" ca="1" si="5"/>
        <v/>
      </c>
      <c r="S45" s="83" t="str">
        <f ca="1">IF(B45="","",IF($B$2="R&amp;T Level 5 - Clinical Lecturers (Vet School)",SUMIF('Points Lookup'!$V:$V,$B45,'Points Lookup'!$W:$W),IF($B$2="R&amp;T Level 6 - Clinical Associate Professors and Clinical Readers (Vet School)",SUMIF('Points Lookup'!$AC:$AC,$B45,'Points Lookup'!$AD:$AD),"")))</f>
        <v/>
      </c>
      <c r="T45" s="84" t="str">
        <f ca="1">IF(B45="","",IF($B$2="R&amp;T Level 5 - Clinical Lecturers (Vet School)",$C45-SUMIF('Points Lookup'!$V:$V,$B45,'Points Lookup'!$X:$X),IF($B$2="R&amp;T Level 6 - Clinical Associate Professors and Clinical Readers (Vet School)",$C45-SUMIF('Points Lookup'!$AC:$AC,$B45,'Points Lookup'!$AE:$AE),"")))</f>
        <v/>
      </c>
      <c r="U45" s="83" t="str">
        <f ca="1">IF(B45="","",IF($B$2="R&amp;T Level 5 - Clinical Lecturers (Vet School)",SUMIF('Points Lookup'!$V:$V,$B45,'Points Lookup'!$Z:$Z),IF($B$2="R&amp;T Level 6 - Clinical Associate Professors and Clinical Readers (Vet School)",SUMIF('Points Lookup'!$AC:$AC,$B45,'Points Lookup'!$AG:$AG),"")))</f>
        <v/>
      </c>
      <c r="V45" s="84" t="str">
        <f t="shared" ca="1" si="6"/>
        <v/>
      </c>
      <c r="AA45" s="174">
        <v>39</v>
      </c>
    </row>
    <row r="46" spans="2:27" x14ac:dyDescent="0.25">
      <c r="B46" s="68" t="str">
        <f ca="1">IFERROR(INDEX('Points Lookup'!$A:$A,MATCH($AA46,'Points Lookup'!$AN:$AN,0)),"")</f>
        <v/>
      </c>
      <c r="C46" s="81" t="str">
        <f ca="1">IF(B46="","",SUMIF(INDIRECT("'Points Lookup'!"&amp;VLOOKUP($B$2,Grades!A:BU,72,FALSE)&amp;":"&amp;VLOOKUP($B$2,Grades!A:BU,72,FALSE)),B46,INDIRECT("'Points Lookup'!"&amp;VLOOKUP($B$2,Grades!A:BU,73,FALSE)&amp;":"&amp;VLOOKUP($B$2,Grades!A:BU,73,FALSE))))</f>
        <v/>
      </c>
      <c r="D46" s="82" t="str">
        <f ca="1">IF(B46="","",IF(AND(VLOOKUP($B$2,Grades!$A:$BS,71,0)="Y",B46&lt;8),VLOOKUP($B46,Thresholds_Rates!$I$15:$J$19,2,FALSE),"-"))</f>
        <v/>
      </c>
      <c r="E46" s="81"/>
      <c r="F46" s="81" t="str">
        <f ca="1">IF($B46="","",IF(SUMIF(Grades!$A:$A,$B$2,Grades!$BO:$BO)=0,"-",IF(AND(VLOOKUP($B$2,Grades!$A:$BV,74,FALSE)="YES",B46&lt;Thresholds_Rates!$C$16),"-",$C46*Thresholds_Rates!$F$15)))</f>
        <v/>
      </c>
      <c r="G46" s="81" t="str">
        <f ca="1">IF(B46="","",IF(OR($B$2="Salary Points 3 to 57",$B$2="Salary Points 3 to 57 (post-pay award)"),"-",IF(SUMIF(Grades!$A:$A,$B$2,Grades!$BP:$BP)=0,"-",$C46*Thresholds_Rates!$F$16)))</f>
        <v/>
      </c>
      <c r="H46" s="81" t="str">
        <f ca="1">IF(B46="","",IF($B$2="Apprenticeship","-",IF(SUMIF(Grades!$A:$A,$B$2,Grades!$BQ:$BQ)=0,"-",IF(AND(VLOOKUP($B$2,Grades!$A:$BW,75,FALSE)="YES",B46&gt;Thresholds_Rates!$C$17),"-",$C46*Thresholds_Rates!$F$17))))</f>
        <v/>
      </c>
      <c r="I46" s="81" t="str">
        <f ca="1">IF($B46="","",IF($C46=0,0,ROUND(($C46-(Thresholds_Rates!$C$5*12))*Thresholds_Rates!$C$10,0)))</f>
        <v/>
      </c>
      <c r="J46" s="81" t="str">
        <f ca="1">IF(B46="","",(C46*Thresholds_Rates!$C$12))</f>
        <v/>
      </c>
      <c r="K46" s="81" t="str">
        <f ca="1">IF(B46="","",IF(SUMIF(Grades!$A:$A,$B$2,Grades!$BR:$BR)=0,"-",IF(AND(VLOOKUP($B$2,Grades!$A:$BW,75,FALSE)="YES",B46&gt;Thresholds_Rates!$C$17),"-",$C46*Thresholds_Rates!$F$18)))</f>
        <v/>
      </c>
      <c r="L46" s="68"/>
      <c r="M46" s="81" t="str">
        <f t="shared" ca="1" si="1"/>
        <v/>
      </c>
      <c r="N46" s="81" t="str">
        <f t="shared" ca="1" si="2"/>
        <v/>
      </c>
      <c r="O46" s="81" t="str">
        <f t="shared" ca="1" si="3"/>
        <v/>
      </c>
      <c r="P46" s="81" t="str">
        <f t="shared" ca="1" si="4"/>
        <v/>
      </c>
      <c r="Q46" s="81" t="str">
        <f t="shared" ca="1" si="5"/>
        <v/>
      </c>
      <c r="S46" s="83" t="str">
        <f ca="1">IF(B46="","",IF($B$2="R&amp;T Level 5 - Clinical Lecturers (Vet School)",SUMIF('Points Lookup'!$V:$V,$B46,'Points Lookup'!$W:$W),IF($B$2="R&amp;T Level 6 - Clinical Associate Professors and Clinical Readers (Vet School)",SUMIF('Points Lookup'!$AC:$AC,$B46,'Points Lookup'!$AD:$AD),"")))</f>
        <v/>
      </c>
      <c r="T46" s="84" t="str">
        <f ca="1">IF(B46="","",IF($B$2="R&amp;T Level 5 - Clinical Lecturers (Vet School)",$C46-SUMIF('Points Lookup'!$V:$V,$B46,'Points Lookup'!$X:$X),IF($B$2="R&amp;T Level 6 - Clinical Associate Professors and Clinical Readers (Vet School)",$C46-SUMIF('Points Lookup'!$AC:$AC,$B46,'Points Lookup'!$AE:$AE),"")))</f>
        <v/>
      </c>
      <c r="U46" s="83" t="str">
        <f ca="1">IF(B46="","",IF($B$2="R&amp;T Level 5 - Clinical Lecturers (Vet School)",SUMIF('Points Lookup'!$V:$V,$B46,'Points Lookup'!$Z:$Z),IF($B$2="R&amp;T Level 6 - Clinical Associate Professors and Clinical Readers (Vet School)",SUMIF('Points Lookup'!$AC:$AC,$B46,'Points Lookup'!$AG:$AG),"")))</f>
        <v/>
      </c>
      <c r="V46" s="84" t="str">
        <f t="shared" ca="1" si="6"/>
        <v/>
      </c>
      <c r="AA46" s="174">
        <v>40</v>
      </c>
    </row>
    <row r="47" spans="2:27" x14ac:dyDescent="0.25">
      <c r="B47" s="68" t="str">
        <f ca="1">IFERROR(INDEX('Points Lookup'!$A:$A,MATCH($AA47,'Points Lookup'!$AN:$AN,0)),"")</f>
        <v/>
      </c>
      <c r="C47" s="81" t="str">
        <f ca="1">IF(B47="","",SUMIF(INDIRECT("'Points Lookup'!"&amp;VLOOKUP($B$2,Grades!A:BU,72,FALSE)&amp;":"&amp;VLOOKUP($B$2,Grades!A:BU,72,FALSE)),B47,INDIRECT("'Points Lookup'!"&amp;VLOOKUP($B$2,Grades!A:BU,73,FALSE)&amp;":"&amp;VLOOKUP($B$2,Grades!A:BU,73,FALSE))))</f>
        <v/>
      </c>
      <c r="D47" s="82" t="str">
        <f ca="1">IF(B47="","",IF(AND(VLOOKUP($B$2,Grades!$A:$BS,71,0)="Y",B47&lt;8),VLOOKUP($B47,Thresholds_Rates!$I$15:$J$19,2,FALSE),"-"))</f>
        <v/>
      </c>
      <c r="E47" s="81"/>
      <c r="F47" s="81" t="str">
        <f ca="1">IF($B47="","",IF(SUMIF(Grades!$A:$A,$B$2,Grades!$BO:$BO)=0,"-",IF(AND(VLOOKUP($B$2,Grades!$A:$BV,74,FALSE)="YES",B47&lt;Thresholds_Rates!$C$16),"-",$C47*Thresholds_Rates!$F$15)))</f>
        <v/>
      </c>
      <c r="G47" s="81" t="str">
        <f ca="1">IF(B47="","",IF(OR($B$2="Salary Points 3 to 57",$B$2="Salary Points 3 to 57 (post-pay award)"),"-",IF(SUMIF(Grades!$A:$A,$B$2,Grades!$BP:$BP)=0,"-",$C47*Thresholds_Rates!$F$16)))</f>
        <v/>
      </c>
      <c r="H47" s="81" t="str">
        <f ca="1">IF(B47="","",IF($B$2="Apprenticeship","-",IF(SUMIF(Grades!$A:$A,$B$2,Grades!$BQ:$BQ)=0,"-",IF(AND(VLOOKUP($B$2,Grades!$A:$BW,75,FALSE)="YES",B47&gt;Thresholds_Rates!$C$17),"-",$C47*Thresholds_Rates!$F$17))))</f>
        <v/>
      </c>
      <c r="I47" s="81" t="str">
        <f ca="1">IF($B47="","",IF($C47=0,0,ROUND(($C47-(Thresholds_Rates!$C$5*12))*Thresholds_Rates!$C$10,0)))</f>
        <v/>
      </c>
      <c r="J47" s="81" t="str">
        <f ca="1">IF(B47="","",(C47*Thresholds_Rates!$C$12))</f>
        <v/>
      </c>
      <c r="K47" s="81" t="str">
        <f ca="1">IF(B47="","",IF(SUMIF(Grades!$A:$A,$B$2,Grades!$BR:$BR)=0,"-",IF(AND(VLOOKUP($B$2,Grades!$A:$BW,75,FALSE)="YES",B47&gt;Thresholds_Rates!$C$17),"-",$C47*Thresholds_Rates!$F$18)))</f>
        <v/>
      </c>
      <c r="L47" s="68"/>
      <c r="M47" s="81" t="str">
        <f t="shared" ca="1" si="1"/>
        <v/>
      </c>
      <c r="N47" s="81" t="str">
        <f t="shared" ca="1" si="2"/>
        <v/>
      </c>
      <c r="O47" s="81" t="str">
        <f t="shared" ca="1" si="3"/>
        <v/>
      </c>
      <c r="P47" s="81" t="str">
        <f t="shared" ca="1" si="4"/>
        <v/>
      </c>
      <c r="Q47" s="81" t="str">
        <f t="shared" ca="1" si="5"/>
        <v/>
      </c>
      <c r="S47" s="83" t="str">
        <f ca="1">IF(B47="","",IF($B$2="R&amp;T Level 5 - Clinical Lecturers (Vet School)",SUMIF('Points Lookup'!$V:$V,$B47,'Points Lookup'!$W:$W),IF($B$2="R&amp;T Level 6 - Clinical Associate Professors and Clinical Readers (Vet School)",SUMIF('Points Lookup'!$AC:$AC,$B47,'Points Lookup'!$AD:$AD),"")))</f>
        <v/>
      </c>
      <c r="T47" s="84" t="str">
        <f ca="1">IF(B47="","",IF($B$2="R&amp;T Level 5 - Clinical Lecturers (Vet School)",$C47-SUMIF('Points Lookup'!$V:$V,$B47,'Points Lookup'!$X:$X),IF($B$2="R&amp;T Level 6 - Clinical Associate Professors and Clinical Readers (Vet School)",$C47-SUMIF('Points Lookup'!$AC:$AC,$B47,'Points Lookup'!$AE:$AE),"")))</f>
        <v/>
      </c>
      <c r="U47" s="83" t="str">
        <f ca="1">IF(B47="","",IF($B$2="R&amp;T Level 5 - Clinical Lecturers (Vet School)",SUMIF('Points Lookup'!$V:$V,$B47,'Points Lookup'!$Z:$Z),IF($B$2="R&amp;T Level 6 - Clinical Associate Professors and Clinical Readers (Vet School)",SUMIF('Points Lookup'!$AC:$AC,$B47,'Points Lookup'!$AG:$AG),"")))</f>
        <v/>
      </c>
      <c r="V47" s="84" t="str">
        <f t="shared" ca="1" si="6"/>
        <v/>
      </c>
      <c r="AA47" s="174">
        <v>41</v>
      </c>
    </row>
    <row r="48" spans="2:27" x14ac:dyDescent="0.25">
      <c r="B48" s="68" t="str">
        <f ca="1">IFERROR(INDEX('Points Lookup'!$A:$A,MATCH($AA48,'Points Lookup'!$AN:$AN,0)),"")</f>
        <v/>
      </c>
      <c r="C48" s="81" t="str">
        <f ca="1">IF(B48="","",SUMIF(INDIRECT("'Points Lookup'!"&amp;VLOOKUP($B$2,Grades!A:BU,72,FALSE)&amp;":"&amp;VLOOKUP($B$2,Grades!A:BU,72,FALSE)),B48,INDIRECT("'Points Lookup'!"&amp;VLOOKUP($B$2,Grades!A:BU,73,FALSE)&amp;":"&amp;VLOOKUP($B$2,Grades!A:BU,73,FALSE))))</f>
        <v/>
      </c>
      <c r="D48" s="82" t="str">
        <f ca="1">IF(B48="","",IF(AND(VLOOKUP($B$2,Grades!$A:$BS,71,0)="Y",B48&lt;8),VLOOKUP($B48,Thresholds_Rates!$I$15:$J$19,2,FALSE),"-"))</f>
        <v/>
      </c>
      <c r="E48" s="81"/>
      <c r="F48" s="81" t="str">
        <f ca="1">IF($B48="","",IF(SUMIF(Grades!$A:$A,$B$2,Grades!$BO:$BO)=0,"-",IF(AND(VLOOKUP($B$2,Grades!$A:$BV,74,FALSE)="YES",B48&lt;Thresholds_Rates!$C$16),"-",$C48*Thresholds_Rates!$F$15)))</f>
        <v/>
      </c>
      <c r="G48" s="81" t="str">
        <f ca="1">IF(B48="","",IF(OR($B$2="Salary Points 3 to 57",$B$2="Salary Points 3 to 57 (post-pay award)"),"-",IF(SUMIF(Grades!$A:$A,$B$2,Grades!$BP:$BP)=0,"-",$C48*Thresholds_Rates!$F$16)))</f>
        <v/>
      </c>
      <c r="H48" s="81" t="str">
        <f ca="1">IF(B48="","",IF($B$2="Apprenticeship","-",IF(SUMIF(Grades!$A:$A,$B$2,Grades!$BQ:$BQ)=0,"-",IF(AND(VLOOKUP($B$2,Grades!$A:$BW,75,FALSE)="YES",B48&gt;Thresholds_Rates!$C$17),"-",$C48*Thresholds_Rates!$F$17))))</f>
        <v/>
      </c>
      <c r="I48" s="81" t="str">
        <f ca="1">IF($B48="","",IF($C48=0,0,ROUND(($C48-(Thresholds_Rates!$C$5*12))*Thresholds_Rates!$C$10,0)))</f>
        <v/>
      </c>
      <c r="J48" s="81" t="str">
        <f ca="1">IF(B48="","",(C48*Thresholds_Rates!$C$12))</f>
        <v/>
      </c>
      <c r="K48" s="81" t="str">
        <f ca="1">IF(B48="","",IF(SUMIF(Grades!$A:$A,$B$2,Grades!$BR:$BR)=0,"-",IF(AND(VLOOKUP($B$2,Grades!$A:$BW,75,FALSE)="YES",B48&gt;Thresholds_Rates!$C$17),"-",$C48*Thresholds_Rates!$F$18)))</f>
        <v/>
      </c>
      <c r="L48" s="68"/>
      <c r="M48" s="81" t="str">
        <f t="shared" ca="1" si="1"/>
        <v/>
      </c>
      <c r="N48" s="81" t="str">
        <f t="shared" ca="1" si="2"/>
        <v/>
      </c>
      <c r="O48" s="81" t="str">
        <f t="shared" ca="1" si="3"/>
        <v/>
      </c>
      <c r="P48" s="81" t="str">
        <f t="shared" ca="1" si="4"/>
        <v/>
      </c>
      <c r="Q48" s="81" t="str">
        <f t="shared" ca="1" si="5"/>
        <v/>
      </c>
      <c r="S48" s="83" t="str">
        <f ca="1">IF(B48="","",IF($B$2="R&amp;T Level 5 - Clinical Lecturers (Vet School)",SUMIF('Points Lookup'!$V:$V,$B48,'Points Lookup'!$W:$W),IF($B$2="R&amp;T Level 6 - Clinical Associate Professors and Clinical Readers (Vet School)",SUMIF('Points Lookup'!$AC:$AC,$B48,'Points Lookup'!$AD:$AD),"")))</f>
        <v/>
      </c>
      <c r="T48" s="84" t="str">
        <f ca="1">IF(B48="","",IF($B$2="R&amp;T Level 5 - Clinical Lecturers (Vet School)",$C48-SUMIF('Points Lookup'!$V:$V,$B48,'Points Lookup'!$X:$X),IF($B$2="R&amp;T Level 6 - Clinical Associate Professors and Clinical Readers (Vet School)",$C48-SUMIF('Points Lookup'!$AC:$AC,$B48,'Points Lookup'!$AE:$AE),"")))</f>
        <v/>
      </c>
      <c r="U48" s="83" t="str">
        <f ca="1">IF(B48="","",IF($B$2="R&amp;T Level 5 - Clinical Lecturers (Vet School)",SUMIF('Points Lookup'!$V:$V,$B48,'Points Lookup'!$Z:$Z),IF($B$2="R&amp;T Level 6 - Clinical Associate Professors and Clinical Readers (Vet School)",SUMIF('Points Lookup'!$AC:$AC,$B48,'Points Lookup'!$AG:$AG),"")))</f>
        <v/>
      </c>
      <c r="V48" s="84" t="str">
        <f t="shared" ca="1" si="6"/>
        <v/>
      </c>
      <c r="AA48" s="174">
        <v>42</v>
      </c>
    </row>
    <row r="49" spans="2:27" x14ac:dyDescent="0.25">
      <c r="B49" s="68" t="str">
        <f ca="1">IFERROR(INDEX('Points Lookup'!$A:$A,MATCH($AA49,'Points Lookup'!$AN:$AN,0)),"")</f>
        <v/>
      </c>
      <c r="C49" s="81" t="str">
        <f ca="1">IF(B49="","",SUMIF(INDIRECT("'Points Lookup'!"&amp;VLOOKUP($B$2,Grades!A:BU,72,FALSE)&amp;":"&amp;VLOOKUP($B$2,Grades!A:BU,72,FALSE)),B49,INDIRECT("'Points Lookup'!"&amp;VLOOKUP($B$2,Grades!A:BU,73,FALSE)&amp;":"&amp;VLOOKUP($B$2,Grades!A:BU,73,FALSE))))</f>
        <v/>
      </c>
      <c r="D49" s="82" t="str">
        <f ca="1">IF(B49="","",IF(AND(VLOOKUP($B$2,Grades!$A:$BS,71,0)="Y",B49&lt;8),VLOOKUP($B49,Thresholds_Rates!$I$15:$J$19,2,FALSE),"-"))</f>
        <v/>
      </c>
      <c r="E49" s="81"/>
      <c r="F49" s="81" t="str">
        <f ca="1">IF($B49="","",IF(SUMIF(Grades!$A:$A,$B$2,Grades!$BO:$BO)=0,"-",IF(AND(VLOOKUP($B$2,Grades!$A:$BV,74,FALSE)="YES",B49&lt;Thresholds_Rates!$C$16),"-",$C49*Thresholds_Rates!$F$15)))</f>
        <v/>
      </c>
      <c r="G49" s="81" t="str">
        <f ca="1">IF(B49="","",IF(OR($B$2="Salary Points 3 to 57",$B$2="Salary Points 3 to 57 (post-pay award)"),"-",IF(SUMIF(Grades!$A:$A,$B$2,Grades!$BP:$BP)=0,"-",$C49*Thresholds_Rates!$F$16)))</f>
        <v/>
      </c>
      <c r="H49" s="81" t="str">
        <f ca="1">IF(B49="","",IF($B$2="Apprenticeship","-",IF(SUMIF(Grades!$A:$A,$B$2,Grades!$BQ:$BQ)=0,"-",IF(AND(VLOOKUP($B$2,Grades!$A:$BW,75,FALSE)="YES",B49&gt;Thresholds_Rates!$C$17),"-",$C49*Thresholds_Rates!$F$17))))</f>
        <v/>
      </c>
      <c r="I49" s="81" t="str">
        <f ca="1">IF($B49="","",IF($C49=0,0,ROUND(($C49-(Thresholds_Rates!$C$5*12))*Thresholds_Rates!$C$10,0)))</f>
        <v/>
      </c>
      <c r="J49" s="81" t="str">
        <f ca="1">IF(B49="","",(C49*Thresholds_Rates!$C$12))</f>
        <v/>
      </c>
      <c r="K49" s="81" t="str">
        <f ca="1">IF(B49="","",IF(SUMIF(Grades!$A:$A,$B$2,Grades!$BR:$BR)=0,"-",IF(AND(VLOOKUP($B$2,Grades!$A:$BW,75,FALSE)="YES",B49&gt;Thresholds_Rates!$C$17),"-",$C49*Thresholds_Rates!$F$18)))</f>
        <v/>
      </c>
      <c r="L49" s="68"/>
      <c r="M49" s="81" t="str">
        <f t="shared" ca="1" si="1"/>
        <v/>
      </c>
      <c r="N49" s="81" t="str">
        <f t="shared" ca="1" si="2"/>
        <v/>
      </c>
      <c r="O49" s="81" t="str">
        <f t="shared" ca="1" si="3"/>
        <v/>
      </c>
      <c r="P49" s="81" t="str">
        <f t="shared" ca="1" si="4"/>
        <v/>
      </c>
      <c r="Q49" s="81" t="str">
        <f t="shared" ca="1" si="5"/>
        <v/>
      </c>
      <c r="S49" s="83" t="str">
        <f ca="1">IF(B49="","",IF($B$2="R&amp;T Level 5 - Clinical Lecturers (Vet School)",SUMIF('Points Lookup'!$V:$V,$B49,'Points Lookup'!$W:$W),IF($B$2="R&amp;T Level 6 - Clinical Associate Professors and Clinical Readers (Vet School)",SUMIF('Points Lookup'!$AC:$AC,$B49,'Points Lookup'!$AD:$AD),"")))</f>
        <v/>
      </c>
      <c r="T49" s="84" t="str">
        <f ca="1">IF(B49="","",IF($B$2="R&amp;T Level 5 - Clinical Lecturers (Vet School)",$C49-SUMIF('Points Lookup'!$V:$V,$B49,'Points Lookup'!$X:$X),IF($B$2="R&amp;T Level 6 - Clinical Associate Professors and Clinical Readers (Vet School)",$C49-SUMIF('Points Lookup'!$AC:$AC,$B49,'Points Lookup'!$AE:$AE),"")))</f>
        <v/>
      </c>
      <c r="U49" s="83" t="str">
        <f ca="1">IF(B49="","",IF($B$2="R&amp;T Level 5 - Clinical Lecturers (Vet School)",SUMIF('Points Lookup'!$V:$V,$B49,'Points Lookup'!$Z:$Z),IF($B$2="R&amp;T Level 6 - Clinical Associate Professors and Clinical Readers (Vet School)",SUMIF('Points Lookup'!$AC:$AC,$B49,'Points Lookup'!$AG:$AG),"")))</f>
        <v/>
      </c>
      <c r="V49" s="84" t="str">
        <f t="shared" ca="1" si="6"/>
        <v/>
      </c>
      <c r="AA49" s="174">
        <v>43</v>
      </c>
    </row>
    <row r="50" spans="2:27" x14ac:dyDescent="0.25">
      <c r="B50" s="68" t="str">
        <f ca="1">IFERROR(INDEX('Points Lookup'!$A:$A,MATCH($AA50,'Points Lookup'!$AN:$AN,0)),"")</f>
        <v/>
      </c>
      <c r="C50" s="81" t="str">
        <f ca="1">IF(B50="","",SUMIF(INDIRECT("'Points Lookup'!"&amp;VLOOKUP($B$2,Grades!A:BU,72,FALSE)&amp;":"&amp;VLOOKUP($B$2,Grades!A:BU,72,FALSE)),B50,INDIRECT("'Points Lookup'!"&amp;VLOOKUP($B$2,Grades!A:BU,73,FALSE)&amp;":"&amp;VLOOKUP($B$2,Grades!A:BU,73,FALSE))))</f>
        <v/>
      </c>
      <c r="D50" s="82" t="str">
        <f ca="1">IF(B50="","",IF(AND(VLOOKUP($B$2,Grades!$A:$BS,71,0)="Y",B50&lt;8),VLOOKUP($B50,Thresholds_Rates!$I$15:$J$19,2,FALSE),"-"))</f>
        <v/>
      </c>
      <c r="E50" s="81"/>
      <c r="F50" s="81" t="str">
        <f ca="1">IF($B50="","",IF(SUMIF(Grades!$A:$A,$B$2,Grades!$BO:$BO)=0,"-",IF(AND(VLOOKUP($B$2,Grades!$A:$BV,74,FALSE)="YES",B50&lt;Thresholds_Rates!$C$16),"-",$C50*Thresholds_Rates!$F$15)))</f>
        <v/>
      </c>
      <c r="G50" s="81" t="str">
        <f ca="1">IF(B50="","",IF(OR($B$2="Salary Points 3 to 57",$B$2="Salary Points 3 to 57 (post-pay award)"),"-",IF(SUMIF(Grades!$A:$A,$B$2,Grades!$BP:$BP)=0,"-",$C50*Thresholds_Rates!$F$16)))</f>
        <v/>
      </c>
      <c r="H50" s="81" t="str">
        <f ca="1">IF(B50="","",IF($B$2="Apprenticeship","-",IF(SUMIF(Grades!$A:$A,$B$2,Grades!$BQ:$BQ)=0,"-",IF(AND(VLOOKUP($B$2,Grades!$A:$BW,75,FALSE)="YES",B50&gt;Thresholds_Rates!$C$17),"-",$C50*Thresholds_Rates!$F$17))))</f>
        <v/>
      </c>
      <c r="I50" s="81" t="str">
        <f ca="1">IF($B50="","",IF($C50=0,0,ROUND(($C50-(Thresholds_Rates!$C$5*12))*Thresholds_Rates!$C$10,0)))</f>
        <v/>
      </c>
      <c r="J50" s="81" t="str">
        <f ca="1">IF(B50="","",(C50*Thresholds_Rates!$C$12))</f>
        <v/>
      </c>
      <c r="K50" s="81" t="str">
        <f ca="1">IF(B50="","",IF(SUMIF(Grades!$A:$A,$B$2,Grades!$BR:$BR)=0,"-",IF(AND(VLOOKUP($B$2,Grades!$A:$BW,75,FALSE)="YES",B50&gt;Thresholds_Rates!$C$17),"-",$C50*Thresholds_Rates!$F$18)))</f>
        <v/>
      </c>
      <c r="L50" s="68"/>
      <c r="M50" s="81" t="str">
        <f t="shared" ca="1" si="1"/>
        <v/>
      </c>
      <c r="N50" s="81" t="str">
        <f t="shared" ca="1" si="2"/>
        <v/>
      </c>
      <c r="O50" s="81" t="str">
        <f t="shared" ca="1" si="3"/>
        <v/>
      </c>
      <c r="P50" s="81" t="str">
        <f t="shared" ca="1" si="4"/>
        <v/>
      </c>
      <c r="Q50" s="81" t="str">
        <f t="shared" ca="1" si="5"/>
        <v/>
      </c>
      <c r="S50" s="83" t="str">
        <f ca="1">IF(B50="","",IF($B$2="R&amp;T Level 5 - Clinical Lecturers (Vet School)",SUMIF('Points Lookup'!$V:$V,$B50,'Points Lookup'!$W:$W),IF($B$2="R&amp;T Level 6 - Clinical Associate Professors and Clinical Readers (Vet School)",SUMIF('Points Lookup'!$AC:$AC,$B50,'Points Lookup'!$AD:$AD),"")))</f>
        <v/>
      </c>
      <c r="T50" s="84" t="str">
        <f ca="1">IF(B50="","",IF($B$2="R&amp;T Level 5 - Clinical Lecturers (Vet School)",$C50-SUMIF('Points Lookup'!$V:$V,$B50,'Points Lookup'!$X:$X),IF($B$2="R&amp;T Level 6 - Clinical Associate Professors and Clinical Readers (Vet School)",$C50-SUMIF('Points Lookup'!$AC:$AC,$B50,'Points Lookup'!$AE:$AE),"")))</f>
        <v/>
      </c>
      <c r="U50" s="83" t="str">
        <f ca="1">IF(B50="","",IF($B$2="R&amp;T Level 5 - Clinical Lecturers (Vet School)",SUMIF('Points Lookup'!$V:$V,$B50,'Points Lookup'!$Z:$Z),IF($B$2="R&amp;T Level 6 - Clinical Associate Professors and Clinical Readers (Vet School)",SUMIF('Points Lookup'!$AC:$AC,$B50,'Points Lookup'!$AG:$AG),"")))</f>
        <v/>
      </c>
      <c r="V50" s="84" t="str">
        <f t="shared" ca="1" si="6"/>
        <v/>
      </c>
      <c r="AA50" s="174">
        <v>44</v>
      </c>
    </row>
    <row r="51" spans="2:27" x14ac:dyDescent="0.25">
      <c r="B51" s="68" t="str">
        <f ca="1">IFERROR(INDEX('Points Lookup'!$A:$A,MATCH($AA51,'Points Lookup'!$AN:$AN,0)),"")</f>
        <v/>
      </c>
      <c r="C51" s="81" t="str">
        <f ca="1">IF(B51="","",SUMIF(INDIRECT("'Points Lookup'!"&amp;VLOOKUP($B$2,Grades!A:BU,72,FALSE)&amp;":"&amp;VLOOKUP($B$2,Grades!A:BU,72,FALSE)),B51,INDIRECT("'Points Lookup'!"&amp;VLOOKUP($B$2,Grades!A:BU,73,FALSE)&amp;":"&amp;VLOOKUP($B$2,Grades!A:BU,73,FALSE))))</f>
        <v/>
      </c>
      <c r="D51" s="82" t="str">
        <f ca="1">IF(B51="","",IF(AND(VLOOKUP($B$2,Grades!$A:$BS,71,0)="Y",B51&lt;8),VLOOKUP($B51,Thresholds_Rates!$I$15:$J$19,2,FALSE),"-"))</f>
        <v/>
      </c>
      <c r="E51" s="81"/>
      <c r="F51" s="81" t="str">
        <f ca="1">IF($B51="","",IF(SUMIF(Grades!$A:$A,$B$2,Grades!$BO:$BO)=0,"-",IF(AND(VLOOKUP($B$2,Grades!$A:$BV,74,FALSE)="YES",B51&lt;Thresholds_Rates!$C$16),"-",$C51*Thresholds_Rates!$F$15)))</f>
        <v/>
      </c>
      <c r="G51" s="81" t="str">
        <f ca="1">IF(B51="","",IF(OR($B$2="Salary Points 3 to 57",$B$2="Salary Points 3 to 57 (post-pay award)"),"-",IF(SUMIF(Grades!$A:$A,$B$2,Grades!$BP:$BP)=0,"-",$C51*Thresholds_Rates!$F$16)))</f>
        <v/>
      </c>
      <c r="H51" s="81" t="str">
        <f ca="1">IF(B51="","",IF($B$2="Apprenticeship","-",IF(SUMIF(Grades!$A:$A,$B$2,Grades!$BQ:$BQ)=0,"-",IF(AND(VLOOKUP($B$2,Grades!$A:$BW,75,FALSE)="YES",B51&gt;Thresholds_Rates!$C$17),"-",$C51*Thresholds_Rates!$F$17))))</f>
        <v/>
      </c>
      <c r="I51" s="81" t="str">
        <f ca="1">IF($B51="","",IF($C51=0,0,ROUND(($C51-(Thresholds_Rates!$C$5*12))*Thresholds_Rates!$C$10,0)))</f>
        <v/>
      </c>
      <c r="J51" s="81" t="str">
        <f ca="1">IF(B51="","",(C51*Thresholds_Rates!$C$12))</f>
        <v/>
      </c>
      <c r="K51" s="81" t="str">
        <f ca="1">IF(B51="","",IF(SUMIF(Grades!$A:$A,$B$2,Grades!$BR:$BR)=0,"-",IF(AND(VLOOKUP($B$2,Grades!$A:$BW,75,FALSE)="YES",B51&gt;Thresholds_Rates!$C$17),"-",$C51*Thresholds_Rates!$F$18)))</f>
        <v/>
      </c>
      <c r="L51" s="68"/>
      <c r="M51" s="81" t="str">
        <f t="shared" ca="1" si="1"/>
        <v/>
      </c>
      <c r="N51" s="81" t="str">
        <f t="shared" ca="1" si="2"/>
        <v/>
      </c>
      <c r="O51" s="81" t="str">
        <f t="shared" ca="1" si="3"/>
        <v/>
      </c>
      <c r="P51" s="81" t="str">
        <f t="shared" ca="1" si="4"/>
        <v/>
      </c>
      <c r="Q51" s="81" t="str">
        <f t="shared" ca="1" si="5"/>
        <v/>
      </c>
      <c r="S51" s="83" t="str">
        <f ca="1">IF(B51="","",IF($B$2="R&amp;T Level 5 - Clinical Lecturers (Vet School)",SUMIF('Points Lookup'!$V:$V,$B51,'Points Lookup'!$W:$W),IF($B$2="R&amp;T Level 6 - Clinical Associate Professors and Clinical Readers (Vet School)",SUMIF('Points Lookup'!$AC:$AC,$B51,'Points Lookup'!$AD:$AD),"")))</f>
        <v/>
      </c>
      <c r="T51" s="84" t="str">
        <f ca="1">IF(B51="","",IF($B$2="R&amp;T Level 5 - Clinical Lecturers (Vet School)",$C51-SUMIF('Points Lookup'!$V:$V,$B51,'Points Lookup'!$X:$X),IF($B$2="R&amp;T Level 6 - Clinical Associate Professors and Clinical Readers (Vet School)",$C51-SUMIF('Points Lookup'!$AC:$AC,$B51,'Points Lookup'!$AE:$AE),"")))</f>
        <v/>
      </c>
      <c r="U51" s="83" t="str">
        <f ca="1">IF(B51="","",IF($B$2="R&amp;T Level 5 - Clinical Lecturers (Vet School)",SUMIF('Points Lookup'!$V:$V,$B51,'Points Lookup'!$Z:$Z),IF($B$2="R&amp;T Level 6 - Clinical Associate Professors and Clinical Readers (Vet School)",SUMIF('Points Lookup'!$AC:$AC,$B51,'Points Lookup'!$AG:$AG),"")))</f>
        <v/>
      </c>
      <c r="V51" s="84" t="str">
        <f t="shared" ca="1" si="6"/>
        <v/>
      </c>
      <c r="AA51" s="174">
        <v>45</v>
      </c>
    </row>
    <row r="52" spans="2:27" x14ac:dyDescent="0.25">
      <c r="B52" s="68" t="str">
        <f ca="1">IFERROR(INDEX('Points Lookup'!$A:$A,MATCH($AA52,'Points Lookup'!$AN:$AN,0)),"")</f>
        <v/>
      </c>
      <c r="C52" s="81" t="str">
        <f ca="1">IF(B52="","",SUMIF(INDIRECT("'Points Lookup'!"&amp;VLOOKUP($B$2,Grades!A:BU,72,FALSE)&amp;":"&amp;VLOOKUP($B$2,Grades!A:BU,72,FALSE)),B52,INDIRECT("'Points Lookup'!"&amp;VLOOKUP($B$2,Grades!A:BU,73,FALSE)&amp;":"&amp;VLOOKUP($B$2,Grades!A:BU,73,FALSE))))</f>
        <v/>
      </c>
      <c r="D52" s="82" t="str">
        <f ca="1">IF(B52="","",IF(AND(VLOOKUP($B$2,Grades!$A:$BS,71,0)="Y",B52&lt;8),VLOOKUP($B52,Thresholds_Rates!$I$15:$J$19,2,FALSE),"-"))</f>
        <v/>
      </c>
      <c r="E52" s="81"/>
      <c r="F52" s="81" t="str">
        <f ca="1">IF($B52="","",IF(SUMIF(Grades!$A:$A,$B$2,Grades!$BO:$BO)=0,"-",IF(AND(VLOOKUP($B$2,Grades!$A:$BV,74,FALSE)="YES",B52&lt;Thresholds_Rates!$C$16),"-",$C52*Thresholds_Rates!$F$15)))</f>
        <v/>
      </c>
      <c r="G52" s="81" t="str">
        <f ca="1">IF(B52="","",IF(OR($B$2="Salary Points 3 to 57",$B$2="Salary Points 3 to 57 (post-pay award)"),"-",IF(SUMIF(Grades!$A:$A,$B$2,Grades!$BP:$BP)=0,"-",$C52*Thresholds_Rates!$F$16)))</f>
        <v/>
      </c>
      <c r="H52" s="81" t="str">
        <f ca="1">IF(B52="","",IF($B$2="Apprenticeship","-",IF(SUMIF(Grades!$A:$A,$B$2,Grades!$BQ:$BQ)=0,"-",IF(AND(VLOOKUP($B$2,Grades!$A:$BW,75,FALSE)="YES",B52&gt;Thresholds_Rates!$C$17),"-",$C52*Thresholds_Rates!$F$17))))</f>
        <v/>
      </c>
      <c r="I52" s="81" t="str">
        <f ca="1">IF($B52="","",IF($C52=0,0,ROUND(($C52-(Thresholds_Rates!$C$5*12))*Thresholds_Rates!$C$10,0)))</f>
        <v/>
      </c>
      <c r="J52" s="81" t="str">
        <f ca="1">IF(B52="","",(C52*Thresholds_Rates!$C$12))</f>
        <v/>
      </c>
      <c r="K52" s="81" t="str">
        <f ca="1">IF(B52="","",IF(SUMIF(Grades!$A:$A,$B$2,Grades!$BR:$BR)=0,"-",IF(AND(VLOOKUP($B$2,Grades!$A:$BW,75,FALSE)="YES",B52&gt;Thresholds_Rates!$C$17),"-",$C52*Thresholds_Rates!$F$18)))</f>
        <v/>
      </c>
      <c r="L52" s="68"/>
      <c r="M52" s="81" t="str">
        <f t="shared" ca="1" si="1"/>
        <v/>
      </c>
      <c r="N52" s="81" t="str">
        <f t="shared" ca="1" si="2"/>
        <v/>
      </c>
      <c r="O52" s="81" t="str">
        <f t="shared" ca="1" si="3"/>
        <v/>
      </c>
      <c r="P52" s="81" t="str">
        <f t="shared" ca="1" si="4"/>
        <v/>
      </c>
      <c r="Q52" s="81" t="str">
        <f t="shared" ca="1" si="5"/>
        <v/>
      </c>
      <c r="S52" s="83" t="str">
        <f ca="1">IF(B52="","",IF($B$2="R&amp;T Level 5 - Clinical Lecturers (Vet School)",SUMIF('Points Lookup'!$V:$V,$B52,'Points Lookup'!$W:$W),IF($B$2="R&amp;T Level 6 - Clinical Associate Professors and Clinical Readers (Vet School)",SUMIF('Points Lookup'!$AC:$AC,$B52,'Points Lookup'!$AD:$AD),"")))</f>
        <v/>
      </c>
      <c r="T52" s="84" t="str">
        <f ca="1">IF(B52="","",IF($B$2="R&amp;T Level 5 - Clinical Lecturers (Vet School)",$C52-SUMIF('Points Lookup'!$V:$V,$B52,'Points Lookup'!$X:$X),IF($B$2="R&amp;T Level 6 - Clinical Associate Professors and Clinical Readers (Vet School)",$C52-SUMIF('Points Lookup'!$AC:$AC,$B52,'Points Lookup'!$AE:$AE),"")))</f>
        <v/>
      </c>
      <c r="U52" s="83" t="str">
        <f ca="1">IF(B52="","",IF($B$2="R&amp;T Level 5 - Clinical Lecturers (Vet School)",SUMIF('Points Lookup'!$V:$V,$B52,'Points Lookup'!$Z:$Z),IF($B$2="R&amp;T Level 6 - Clinical Associate Professors and Clinical Readers (Vet School)",SUMIF('Points Lookup'!$AC:$AC,$B52,'Points Lookup'!$AG:$AG),"")))</f>
        <v/>
      </c>
      <c r="V52" s="84" t="str">
        <f t="shared" ca="1" si="6"/>
        <v/>
      </c>
      <c r="AA52" s="174">
        <v>46</v>
      </c>
    </row>
    <row r="53" spans="2:27" x14ac:dyDescent="0.25">
      <c r="B53" s="68" t="str">
        <f ca="1">IFERROR(INDEX('Points Lookup'!$A:$A,MATCH($AA53,'Points Lookup'!$AN:$AN,0)),"")</f>
        <v/>
      </c>
      <c r="C53" s="81" t="str">
        <f ca="1">IF(B53="","",SUMIF(INDIRECT("'Points Lookup'!"&amp;VLOOKUP($B$2,Grades!A:BU,72,FALSE)&amp;":"&amp;VLOOKUP($B$2,Grades!A:BU,72,FALSE)),B53,INDIRECT("'Points Lookup'!"&amp;VLOOKUP($B$2,Grades!A:BU,73,FALSE)&amp;":"&amp;VLOOKUP($B$2,Grades!A:BU,73,FALSE))))</f>
        <v/>
      </c>
      <c r="D53" s="82" t="str">
        <f ca="1">IF(B53="","",IF(AND(VLOOKUP($B$2,Grades!$A:$BS,71,0)="Y",B53&lt;8),VLOOKUP($B53,Thresholds_Rates!$I$15:$J$19,2,FALSE),"-"))</f>
        <v/>
      </c>
      <c r="E53" s="81"/>
      <c r="F53" s="81" t="str">
        <f ca="1">IF($B53="","",IF(SUMIF(Grades!$A:$A,$B$2,Grades!$BO:$BO)=0,"-",IF(AND(VLOOKUP($B$2,Grades!$A:$BV,74,FALSE)="YES",B53&lt;Thresholds_Rates!$C$16),"-",$C53*Thresholds_Rates!$F$15)))</f>
        <v/>
      </c>
      <c r="G53" s="81" t="str">
        <f ca="1">IF(B53="","",IF(OR($B$2="Salary Points 3 to 57",$B$2="Salary Points 3 to 57 (post-pay award)"),"-",IF(SUMIF(Grades!$A:$A,$B$2,Grades!$BP:$BP)=0,"-",$C53*Thresholds_Rates!$F$16)))</f>
        <v/>
      </c>
      <c r="H53" s="81" t="str">
        <f ca="1">IF(B53="","",IF($B$2="Apprenticeship","-",IF(SUMIF(Grades!$A:$A,$B$2,Grades!$BQ:$BQ)=0,"-",IF(AND(VLOOKUP($B$2,Grades!$A:$BW,75,FALSE)="YES",B53&gt;Thresholds_Rates!$C$17),"-",$C53*Thresholds_Rates!$F$17))))</f>
        <v/>
      </c>
      <c r="I53" s="81" t="str">
        <f ca="1">IF($B53="","",IF($C53=0,0,ROUND(($C53-(Thresholds_Rates!$C$5*12))*Thresholds_Rates!$C$10,0)))</f>
        <v/>
      </c>
      <c r="J53" s="81" t="str">
        <f ca="1">IF(B53="","",(C53*Thresholds_Rates!$C$12))</f>
        <v/>
      </c>
      <c r="K53" s="81" t="str">
        <f ca="1">IF(B53="","",IF(SUMIF(Grades!$A:$A,$B$2,Grades!$BR:$BR)=0,"-",IF(AND(VLOOKUP($B$2,Grades!$A:$BW,75,FALSE)="YES",B53&gt;Thresholds_Rates!$C$17),"-",$C53*Thresholds_Rates!$F$18)))</f>
        <v/>
      </c>
      <c r="L53" s="68"/>
      <c r="M53" s="81" t="str">
        <f t="shared" ca="1" si="1"/>
        <v/>
      </c>
      <c r="N53" s="81" t="str">
        <f t="shared" ca="1" si="2"/>
        <v/>
      </c>
      <c r="O53" s="81" t="str">
        <f t="shared" ca="1" si="3"/>
        <v/>
      </c>
      <c r="P53" s="81" t="str">
        <f t="shared" ca="1" si="4"/>
        <v/>
      </c>
      <c r="Q53" s="81" t="str">
        <f t="shared" ca="1" si="5"/>
        <v/>
      </c>
      <c r="S53" s="83" t="str">
        <f ca="1">IF(B53="","",IF($B$2="R&amp;T Level 5 - Clinical Lecturers (Vet School)",SUMIF('Points Lookup'!$V:$V,$B53,'Points Lookup'!$W:$W),IF($B$2="R&amp;T Level 6 - Clinical Associate Professors and Clinical Readers (Vet School)",SUMIF('Points Lookup'!$AC:$AC,$B53,'Points Lookup'!$AD:$AD),"")))</f>
        <v/>
      </c>
      <c r="T53" s="84" t="str">
        <f ca="1">IF(B53="","",IF($B$2="R&amp;T Level 5 - Clinical Lecturers (Vet School)",$C53-SUMIF('Points Lookup'!$V:$V,$B53,'Points Lookup'!$X:$X),IF($B$2="R&amp;T Level 6 - Clinical Associate Professors and Clinical Readers (Vet School)",$C53-SUMIF('Points Lookup'!$AC:$AC,$B53,'Points Lookup'!$AE:$AE),"")))</f>
        <v/>
      </c>
      <c r="U53" s="83" t="str">
        <f ca="1">IF(B53="","",IF($B$2="R&amp;T Level 5 - Clinical Lecturers (Vet School)",SUMIF('Points Lookup'!$V:$V,$B53,'Points Lookup'!$Z:$Z),IF($B$2="R&amp;T Level 6 - Clinical Associate Professors and Clinical Readers (Vet School)",SUMIF('Points Lookup'!$AC:$AC,$B53,'Points Lookup'!$AG:$AG),"")))</f>
        <v/>
      </c>
      <c r="V53" s="84" t="str">
        <f t="shared" ca="1" si="6"/>
        <v/>
      </c>
      <c r="AA53" s="174">
        <v>47</v>
      </c>
    </row>
    <row r="54" spans="2:27" x14ac:dyDescent="0.25">
      <c r="B54" s="68" t="str">
        <f ca="1">IFERROR(INDEX('Points Lookup'!$A:$A,MATCH($AA54,'Points Lookup'!$AN:$AN,0)),"")</f>
        <v/>
      </c>
      <c r="C54" s="81" t="str">
        <f ca="1">IF(B54="","",SUMIF(INDIRECT("'Points Lookup'!"&amp;VLOOKUP($B$2,Grades!A:BU,72,FALSE)&amp;":"&amp;VLOOKUP($B$2,Grades!A:BU,72,FALSE)),B54,INDIRECT("'Points Lookup'!"&amp;VLOOKUP($B$2,Grades!A:BU,73,FALSE)&amp;":"&amp;VLOOKUP($B$2,Grades!A:BU,73,FALSE))))</f>
        <v/>
      </c>
      <c r="D54" s="82" t="str">
        <f ca="1">IF(B54="","",IF(AND(VLOOKUP($B$2,Grades!$A:$BS,71,0)="Y",B54&lt;8),VLOOKUP($B54,Thresholds_Rates!$I$15:$J$19,2,FALSE),"-"))</f>
        <v/>
      </c>
      <c r="E54" s="81"/>
      <c r="F54" s="81" t="str">
        <f ca="1">IF($B54="","",IF(SUMIF(Grades!$A:$A,$B$2,Grades!$BO:$BO)=0,"-",IF(AND(VLOOKUP($B$2,Grades!$A:$BV,74,FALSE)="YES",B54&lt;Thresholds_Rates!$C$16),"-",$C54*Thresholds_Rates!$F$15)))</f>
        <v/>
      </c>
      <c r="G54" s="81" t="str">
        <f ca="1">IF(B54="","",IF(OR($B$2="Salary Points 3 to 57",$B$2="Salary Points 3 to 57 (post-pay award)"),"-",IF(SUMIF(Grades!$A:$A,$B$2,Grades!$BP:$BP)=0,"-",$C54*Thresholds_Rates!$F$16)))</f>
        <v/>
      </c>
      <c r="H54" s="81" t="str">
        <f ca="1">IF(B54="","",IF($B$2="Apprenticeship","-",IF(SUMIF(Grades!$A:$A,$B$2,Grades!$BQ:$BQ)=0,"-",IF(AND(VLOOKUP($B$2,Grades!$A:$BW,75,FALSE)="YES",B54&gt;Thresholds_Rates!$C$17),"-",$C54*Thresholds_Rates!$F$17))))</f>
        <v/>
      </c>
      <c r="I54" s="81" t="str">
        <f ca="1">IF($B54="","",IF($C54=0,0,ROUND(($C54-(Thresholds_Rates!$C$5*12))*Thresholds_Rates!$C$10,0)))</f>
        <v/>
      </c>
      <c r="J54" s="81" t="str">
        <f ca="1">IF(B54="","",(C54*Thresholds_Rates!$C$12))</f>
        <v/>
      </c>
      <c r="K54" s="81" t="str">
        <f ca="1">IF(B54="","",IF(SUMIF(Grades!$A:$A,$B$2,Grades!$BR:$BR)=0,"-",IF(AND(VLOOKUP($B$2,Grades!$A:$BW,75,FALSE)="YES",B54&gt;Thresholds_Rates!$C$17),"-",$C54*Thresholds_Rates!$F$18)))</f>
        <v/>
      </c>
      <c r="L54" s="68"/>
      <c r="M54" s="81" t="str">
        <f t="shared" ca="1" si="1"/>
        <v/>
      </c>
      <c r="N54" s="81" t="str">
        <f t="shared" ca="1" si="2"/>
        <v/>
      </c>
      <c r="O54" s="81" t="str">
        <f t="shared" ca="1" si="3"/>
        <v/>
      </c>
      <c r="P54" s="81" t="str">
        <f t="shared" ca="1" si="4"/>
        <v/>
      </c>
      <c r="Q54" s="81" t="str">
        <f t="shared" ca="1" si="5"/>
        <v/>
      </c>
      <c r="S54" s="83" t="str">
        <f ca="1">IF(B54="","",IF($B$2="R&amp;T Level 5 - Clinical Lecturers (Vet School)",SUMIF('Points Lookup'!$V:$V,$B54,'Points Lookup'!$W:$W),IF($B$2="R&amp;T Level 6 - Clinical Associate Professors and Clinical Readers (Vet School)",SUMIF('Points Lookup'!$AC:$AC,$B54,'Points Lookup'!$AD:$AD),"")))</f>
        <v/>
      </c>
      <c r="T54" s="84" t="str">
        <f ca="1">IF(B54="","",IF($B$2="R&amp;T Level 5 - Clinical Lecturers (Vet School)",$C54-SUMIF('Points Lookup'!$V:$V,$B54,'Points Lookup'!$X:$X),IF($B$2="R&amp;T Level 6 - Clinical Associate Professors and Clinical Readers (Vet School)",$C54-SUMIF('Points Lookup'!$AC:$AC,$B54,'Points Lookup'!$AE:$AE),"")))</f>
        <v/>
      </c>
      <c r="U54" s="83" t="str">
        <f ca="1">IF(B54="","",IF($B$2="R&amp;T Level 5 - Clinical Lecturers (Vet School)",SUMIF('Points Lookup'!$V:$V,$B54,'Points Lookup'!$Z:$Z),IF($B$2="R&amp;T Level 6 - Clinical Associate Professors and Clinical Readers (Vet School)",SUMIF('Points Lookup'!$AC:$AC,$B54,'Points Lookup'!$AG:$AG),"")))</f>
        <v/>
      </c>
      <c r="V54" s="84" t="str">
        <f t="shared" ca="1" si="6"/>
        <v/>
      </c>
      <c r="AA54" s="174">
        <v>48</v>
      </c>
    </row>
    <row r="55" spans="2:27" x14ac:dyDescent="0.25">
      <c r="B55" s="68" t="str">
        <f ca="1">IFERROR(INDEX('Points Lookup'!$A:$A,MATCH($AA55,'Points Lookup'!$AN:$AN,0)),"")</f>
        <v/>
      </c>
      <c r="C55" s="81" t="str">
        <f ca="1">IF(B55="","",SUMIF(INDIRECT("'Points Lookup'!"&amp;VLOOKUP($B$2,Grades!A:BU,72,FALSE)&amp;":"&amp;VLOOKUP($B$2,Grades!A:BU,72,FALSE)),B55,INDIRECT("'Points Lookup'!"&amp;VLOOKUP($B$2,Grades!A:BU,73,FALSE)&amp;":"&amp;VLOOKUP($B$2,Grades!A:BU,73,FALSE))))</f>
        <v/>
      </c>
      <c r="D55" s="82" t="str">
        <f ca="1">IF(B55="","",IF(AND(VLOOKUP($B$2,Grades!$A:$BS,71,0)="Y",B55&lt;8),VLOOKUP($B55,Thresholds_Rates!$I$15:$J$19,2,FALSE),"-"))</f>
        <v/>
      </c>
      <c r="E55" s="81"/>
      <c r="F55" s="81" t="str">
        <f ca="1">IF($B55="","",IF(SUMIF(Grades!$A:$A,$B$2,Grades!$BO:$BO)=0,"-",IF(AND(VLOOKUP($B$2,Grades!$A:$BV,74,FALSE)="YES",B55&lt;Thresholds_Rates!$C$16),"-",$C55*Thresholds_Rates!$F$15)))</f>
        <v/>
      </c>
      <c r="G55" s="81" t="str">
        <f ca="1">IF(B55="","",IF(OR($B$2="Salary Points 3 to 57",$B$2="Salary Points 3 to 57 (post-pay award)"),"-",IF(SUMIF(Grades!$A:$A,$B$2,Grades!$BP:$BP)=0,"-",$C55*Thresholds_Rates!$F$16)))</f>
        <v/>
      </c>
      <c r="H55" s="81" t="str">
        <f ca="1">IF(B55="","",IF($B$2="Apprenticeship","-",IF(SUMIF(Grades!$A:$A,$B$2,Grades!$BQ:$BQ)=0,"-",IF(AND(VLOOKUP($B$2,Grades!$A:$BW,75,FALSE)="YES",B55&gt;Thresholds_Rates!$C$17),"-",$C55*Thresholds_Rates!$F$17))))</f>
        <v/>
      </c>
      <c r="I55" s="81" t="str">
        <f ca="1">IF($B55="","",IF($C55=0,0,ROUND(($C55-(Thresholds_Rates!$C$5*12))*Thresholds_Rates!$C$10,0)))</f>
        <v/>
      </c>
      <c r="J55" s="81" t="str">
        <f ca="1">IF(B55="","",(C55*Thresholds_Rates!$C$12))</f>
        <v/>
      </c>
      <c r="K55" s="81" t="str">
        <f ca="1">IF(B55="","",IF(SUMIF(Grades!$A:$A,$B$2,Grades!$BR:$BR)=0,"-",IF(AND(VLOOKUP($B$2,Grades!$A:$BW,75,FALSE)="YES",B55&gt;Thresholds_Rates!$C$17),"-",$C55*Thresholds_Rates!$F$18)))</f>
        <v/>
      </c>
      <c r="L55" s="68"/>
      <c r="M55" s="81" t="str">
        <f t="shared" ca="1" si="1"/>
        <v/>
      </c>
      <c r="N55" s="81" t="str">
        <f t="shared" ca="1" si="2"/>
        <v/>
      </c>
      <c r="O55" s="81" t="str">
        <f t="shared" ca="1" si="3"/>
        <v/>
      </c>
      <c r="P55" s="81" t="str">
        <f t="shared" ca="1" si="4"/>
        <v/>
      </c>
      <c r="Q55" s="81" t="str">
        <f t="shared" ca="1" si="5"/>
        <v/>
      </c>
      <c r="S55" s="83" t="str">
        <f ca="1">IF(B55="","",IF($B$2="R&amp;T Level 5 - Clinical Lecturers (Vet School)",SUMIF('Points Lookup'!$V:$V,$B55,'Points Lookup'!$W:$W),IF($B$2="R&amp;T Level 6 - Clinical Associate Professors and Clinical Readers (Vet School)",SUMIF('Points Lookup'!$AC:$AC,$B55,'Points Lookup'!$AD:$AD),"")))</f>
        <v/>
      </c>
      <c r="T55" s="84" t="str">
        <f ca="1">IF(B55="","",IF($B$2="R&amp;T Level 5 - Clinical Lecturers (Vet School)",$C55-SUMIF('Points Lookup'!$V:$V,$B55,'Points Lookup'!$X:$X),IF($B$2="R&amp;T Level 6 - Clinical Associate Professors and Clinical Readers (Vet School)",$C55-SUMIF('Points Lookup'!$AC:$AC,$B55,'Points Lookup'!$AE:$AE),"")))</f>
        <v/>
      </c>
      <c r="U55" s="83" t="str">
        <f ca="1">IF(B55="","",IF($B$2="R&amp;T Level 5 - Clinical Lecturers (Vet School)",SUMIF('Points Lookup'!$V:$V,$B55,'Points Lookup'!$Z:$Z),IF($B$2="R&amp;T Level 6 - Clinical Associate Professors and Clinical Readers (Vet School)",SUMIF('Points Lookup'!$AC:$AC,$B55,'Points Lookup'!$AG:$AG),"")))</f>
        <v/>
      </c>
      <c r="V55" s="84" t="str">
        <f t="shared" ca="1" si="6"/>
        <v/>
      </c>
      <c r="AA55" s="174">
        <v>49</v>
      </c>
    </row>
    <row r="56" spans="2:27" x14ac:dyDescent="0.25">
      <c r="B56" s="68" t="str">
        <f ca="1">IFERROR(INDEX('Points Lookup'!$A:$A,MATCH($AA56,'Points Lookup'!$AN:$AN,0)),"")</f>
        <v/>
      </c>
      <c r="C56" s="81" t="str">
        <f ca="1">IF(B56="","",SUMIF(INDIRECT("'Points Lookup'!"&amp;VLOOKUP($B$2,Grades!A:BU,72,FALSE)&amp;":"&amp;VLOOKUP($B$2,Grades!A:BU,72,FALSE)),B56,INDIRECT("'Points Lookup'!"&amp;VLOOKUP($B$2,Grades!A:BU,73,FALSE)&amp;":"&amp;VLOOKUP($B$2,Grades!A:BU,73,FALSE))))</f>
        <v/>
      </c>
      <c r="D56" s="82" t="str">
        <f ca="1">IF(B56="","",IF(AND(VLOOKUP($B$2,Grades!$A:$BS,71,0)="Y",B56&lt;8),VLOOKUP($B56,Thresholds_Rates!$I$15:$J$19,2,FALSE),"-"))</f>
        <v/>
      </c>
      <c r="E56" s="81"/>
      <c r="F56" s="81" t="str">
        <f ca="1">IF($B56="","",IF(SUMIF(Grades!$A:$A,$B$2,Grades!$BO:$BO)=0,"-",IF(AND(VLOOKUP($B$2,Grades!$A:$BV,74,FALSE)="YES",B56&lt;Thresholds_Rates!$C$16),"-",$C56*Thresholds_Rates!$F$15)))</f>
        <v/>
      </c>
      <c r="G56" s="81" t="str">
        <f ca="1">IF(B56="","",IF(OR($B$2="Salary Points 3 to 57",$B$2="Salary Points 3 to 57 (post-pay award)"),"-",IF(SUMIF(Grades!$A:$A,$B$2,Grades!$BP:$BP)=0,"-",$C56*Thresholds_Rates!$F$16)))</f>
        <v/>
      </c>
      <c r="H56" s="81" t="str">
        <f ca="1">IF(B56="","",IF($B$2="Apprenticeship","-",IF(SUMIF(Grades!$A:$A,$B$2,Grades!$BQ:$BQ)=0,"-",IF(AND(VLOOKUP($B$2,Grades!$A:$BW,75,FALSE)="YES",B56&gt;Thresholds_Rates!$C$17),"-",$C56*Thresholds_Rates!$F$17))))</f>
        <v/>
      </c>
      <c r="I56" s="81" t="str">
        <f ca="1">IF($B56="","",IF($C56=0,0,ROUND(($C56-(Thresholds_Rates!$C$5*12))*Thresholds_Rates!$C$10,0)))</f>
        <v/>
      </c>
      <c r="J56" s="81" t="str">
        <f ca="1">IF(B56="","",(C56*Thresholds_Rates!$C$12))</f>
        <v/>
      </c>
      <c r="K56" s="81" t="str">
        <f ca="1">IF(B56="","",IF(SUMIF(Grades!$A:$A,$B$2,Grades!$BR:$BR)=0,"-",IF(AND(VLOOKUP($B$2,Grades!$A:$BW,75,FALSE)="YES",B56&gt;Thresholds_Rates!$C$17),"-",$C56*Thresholds_Rates!$F$18)))</f>
        <v/>
      </c>
      <c r="L56" s="68"/>
      <c r="M56" s="81" t="str">
        <f t="shared" ca="1" si="1"/>
        <v/>
      </c>
      <c r="N56" s="81" t="str">
        <f t="shared" ca="1" si="2"/>
        <v/>
      </c>
      <c r="O56" s="81" t="str">
        <f t="shared" ca="1" si="3"/>
        <v/>
      </c>
      <c r="P56" s="81" t="str">
        <f t="shared" ca="1" si="4"/>
        <v/>
      </c>
      <c r="Q56" s="81" t="str">
        <f t="shared" ca="1" si="5"/>
        <v/>
      </c>
      <c r="S56" s="83" t="str">
        <f ca="1">IF(B56="","",IF($B$2="R&amp;T Level 5 - Clinical Lecturers (Vet School)",SUMIF('Points Lookup'!$V:$V,$B56,'Points Lookup'!$W:$W),IF($B$2="R&amp;T Level 6 - Clinical Associate Professors and Clinical Readers (Vet School)",SUMIF('Points Lookup'!$AC:$AC,$B56,'Points Lookup'!$AD:$AD),"")))</f>
        <v/>
      </c>
      <c r="T56" s="84" t="str">
        <f ca="1">IF(B56="","",IF($B$2="R&amp;T Level 5 - Clinical Lecturers (Vet School)",$C56-SUMIF('Points Lookup'!$V:$V,$B56,'Points Lookup'!$X:$X),IF($B$2="R&amp;T Level 6 - Clinical Associate Professors and Clinical Readers (Vet School)",$C56-SUMIF('Points Lookup'!$AC:$AC,$B56,'Points Lookup'!$AE:$AE),"")))</f>
        <v/>
      </c>
      <c r="U56" s="83" t="str">
        <f ca="1">IF(B56="","",IF($B$2="R&amp;T Level 5 - Clinical Lecturers (Vet School)",SUMIF('Points Lookup'!$V:$V,$B56,'Points Lookup'!$Z:$Z),IF($B$2="R&amp;T Level 6 - Clinical Associate Professors and Clinical Readers (Vet School)",SUMIF('Points Lookup'!$AC:$AC,$B56,'Points Lookup'!$AG:$AG),"")))</f>
        <v/>
      </c>
      <c r="V56" s="84" t="str">
        <f t="shared" ca="1" si="6"/>
        <v/>
      </c>
      <c r="AA56" s="174">
        <v>50</v>
      </c>
    </row>
    <row r="57" spans="2:27" x14ac:dyDescent="0.25">
      <c r="B57" s="68" t="str">
        <f ca="1">IFERROR(INDEX('Points Lookup'!$A:$A,MATCH($AA57,'Points Lookup'!$AN:$AN,0)),"")</f>
        <v/>
      </c>
      <c r="C57" s="81" t="str">
        <f ca="1">IF(B57="","",SUMIF(INDIRECT("'Points Lookup'!"&amp;VLOOKUP($B$2,Grades!A:BU,72,FALSE)&amp;":"&amp;VLOOKUP($B$2,Grades!A:BU,72,FALSE)),B57,INDIRECT("'Points Lookup'!"&amp;VLOOKUP($B$2,Grades!A:BU,73,FALSE)&amp;":"&amp;VLOOKUP($B$2,Grades!A:BU,73,FALSE))))</f>
        <v/>
      </c>
      <c r="D57" s="82" t="str">
        <f ca="1">IF(B57="","",IF(AND(VLOOKUP($B$2,Grades!$A:$BS,71,0)="Y",B57&lt;8),VLOOKUP($B57,Thresholds_Rates!$I$15:$J$19,2,FALSE),"-"))</f>
        <v/>
      </c>
      <c r="E57" s="81"/>
      <c r="F57" s="81" t="str">
        <f ca="1">IF($B57="","",IF(SUMIF(Grades!$A:$A,$B$2,Grades!$BO:$BO)=0,"-",IF(AND(VLOOKUP($B$2,Grades!$A:$BV,74,FALSE)="YES",B57&lt;Thresholds_Rates!$C$16),"-",$C57*Thresholds_Rates!$F$15)))</f>
        <v/>
      </c>
      <c r="G57" s="81" t="str">
        <f ca="1">IF(B57="","",IF(OR($B$2="Salary Points 3 to 57",$B$2="Salary Points 3 to 57 (post-pay award)"),"-",IF(SUMIF(Grades!$A:$A,$B$2,Grades!$BP:$BP)=0,"-",$C57*Thresholds_Rates!$F$16)))</f>
        <v/>
      </c>
      <c r="H57" s="81" t="str">
        <f ca="1">IF(B57="","",IF($B$2="Apprenticeship","-",IF(SUMIF(Grades!$A:$A,$B$2,Grades!$BQ:$BQ)=0,"-",IF(AND(VLOOKUP($B$2,Grades!$A:$BW,75,FALSE)="YES",B57&gt;Thresholds_Rates!$C$17),"-",$C57*Thresholds_Rates!$F$17))))</f>
        <v/>
      </c>
      <c r="I57" s="81" t="str">
        <f ca="1">IF($B57="","",IF($C57=0,0,ROUND(($C57-(Thresholds_Rates!$C$5*12))*Thresholds_Rates!$C$10,0)))</f>
        <v/>
      </c>
      <c r="J57" s="81" t="str">
        <f ca="1">IF(B57="","",(C57*Thresholds_Rates!$C$12))</f>
        <v/>
      </c>
      <c r="K57" s="81" t="str">
        <f ca="1">IF(B57="","",IF(SUMIF(Grades!$A:$A,$B$2,Grades!$BR:$BR)=0,"-",IF(AND(VLOOKUP($B$2,Grades!$A:$BW,75,FALSE)="YES",B57&gt;Thresholds_Rates!$C$17),"-",$C57*Thresholds_Rates!$F$18)))</f>
        <v/>
      </c>
      <c r="L57" s="68"/>
      <c r="M57" s="81" t="str">
        <f t="shared" ca="1" si="1"/>
        <v/>
      </c>
      <c r="N57" s="81" t="str">
        <f t="shared" ca="1" si="2"/>
        <v/>
      </c>
      <c r="O57" s="81" t="str">
        <f t="shared" ca="1" si="3"/>
        <v/>
      </c>
      <c r="P57" s="81" t="str">
        <f t="shared" ca="1" si="4"/>
        <v/>
      </c>
      <c r="Q57" s="81" t="str">
        <f t="shared" ca="1" si="5"/>
        <v/>
      </c>
      <c r="S57" s="83" t="str">
        <f ca="1">IF(B57="","",IF($B$2="R&amp;T Level 5 - Clinical Lecturers (Vet School)",SUMIF('Points Lookup'!$V:$V,$B57,'Points Lookup'!$W:$W),IF($B$2="R&amp;T Level 6 - Clinical Associate Professors and Clinical Readers (Vet School)",SUMIF('Points Lookup'!$AC:$AC,$B57,'Points Lookup'!$AD:$AD),"")))</f>
        <v/>
      </c>
      <c r="T57" s="84" t="str">
        <f ca="1">IF(B57="","",IF($B$2="R&amp;T Level 5 - Clinical Lecturers (Vet School)",$C57-SUMIF('Points Lookup'!$V:$V,$B57,'Points Lookup'!$X:$X),IF($B$2="R&amp;T Level 6 - Clinical Associate Professors and Clinical Readers (Vet School)",$C57-SUMIF('Points Lookup'!$AC:$AC,$B57,'Points Lookup'!$AE:$AE),"")))</f>
        <v/>
      </c>
      <c r="U57" s="83" t="str">
        <f ca="1">IF(B57="","",IF($B$2="R&amp;T Level 5 - Clinical Lecturers (Vet School)",SUMIF('Points Lookup'!$V:$V,$B57,'Points Lookup'!$Z:$Z),IF($B$2="R&amp;T Level 6 - Clinical Associate Professors and Clinical Readers (Vet School)",SUMIF('Points Lookup'!$AC:$AC,$B57,'Points Lookup'!$AG:$AG),"")))</f>
        <v/>
      </c>
      <c r="V57" s="84" t="str">
        <f t="shared" ca="1" si="6"/>
        <v/>
      </c>
      <c r="AA57" s="174">
        <v>51</v>
      </c>
    </row>
    <row r="58" spans="2:27" x14ac:dyDescent="0.25">
      <c r="B58" s="68" t="str">
        <f ca="1">IFERROR(INDEX('Points Lookup'!$A:$A,MATCH($AA58,'Points Lookup'!$AN:$AN,0)),"")</f>
        <v/>
      </c>
      <c r="C58" s="81" t="str">
        <f ca="1">IF(B58="","",SUMIF(INDIRECT("'Points Lookup'!"&amp;VLOOKUP($B$2,Grades!A:BU,72,FALSE)&amp;":"&amp;VLOOKUP($B$2,Grades!A:BU,72,FALSE)),B58,INDIRECT("'Points Lookup'!"&amp;VLOOKUP($B$2,Grades!A:BU,73,FALSE)&amp;":"&amp;VLOOKUP($B$2,Grades!A:BU,73,FALSE))))</f>
        <v/>
      </c>
      <c r="D58" s="82" t="str">
        <f ca="1">IF(B58="","",IF(AND(VLOOKUP($B$2,Grades!$A:$BS,71,0)="Y",B58&lt;8),VLOOKUP($B58,Thresholds_Rates!$I$15:$J$19,2,FALSE),"-"))</f>
        <v/>
      </c>
      <c r="E58" s="81"/>
      <c r="F58" s="81" t="str">
        <f ca="1">IF($B58="","",IF(SUMIF(Grades!$A:$A,$B$2,Grades!$BO:$BO)=0,"-",IF(AND(VLOOKUP($B$2,Grades!$A:$BV,74,FALSE)="YES",B58&lt;Thresholds_Rates!$C$16),"-",$C58*Thresholds_Rates!$F$15)))</f>
        <v/>
      </c>
      <c r="G58" s="81" t="str">
        <f ca="1">IF(B58="","",IF(OR($B$2="Salary Points 3 to 57",$B$2="Salary Points 3 to 57 (post-pay award)"),"-",IF(SUMIF(Grades!$A:$A,$B$2,Grades!$BP:$BP)=0,"-",$C58*Thresholds_Rates!$F$16)))</f>
        <v/>
      </c>
      <c r="H58" s="81" t="str">
        <f ca="1">IF(B58="","",IF($B$2="Apprenticeship","-",IF(SUMIF(Grades!$A:$A,$B$2,Grades!$BQ:$BQ)=0,"-",IF(AND(VLOOKUP($B$2,Grades!$A:$BW,75,FALSE)="YES",B58&gt;Thresholds_Rates!$C$17),"-",$C58*Thresholds_Rates!$F$17))))</f>
        <v/>
      </c>
      <c r="I58" s="81" t="str">
        <f ca="1">IF($B58="","",IF($C58=0,0,ROUND(($C58-(Thresholds_Rates!$C$5*12))*Thresholds_Rates!$C$10,0)))</f>
        <v/>
      </c>
      <c r="J58" s="81" t="str">
        <f ca="1">IF(B58="","",(C58*Thresholds_Rates!$C$12))</f>
        <v/>
      </c>
      <c r="K58" s="81" t="str">
        <f ca="1">IF(B58="","",IF(SUMIF(Grades!$A:$A,$B$2,Grades!$BR:$BR)=0,"-",IF(AND(VLOOKUP($B$2,Grades!$A:$BW,75,FALSE)="YES",B58&gt;Thresholds_Rates!$C$17),"-",$C58*Thresholds_Rates!$F$18)))</f>
        <v/>
      </c>
      <c r="L58" s="68"/>
      <c r="M58" s="81" t="str">
        <f t="shared" ca="1" si="1"/>
        <v/>
      </c>
      <c r="N58" s="81" t="str">
        <f t="shared" ca="1" si="2"/>
        <v/>
      </c>
      <c r="O58" s="81" t="str">
        <f t="shared" ca="1" si="3"/>
        <v/>
      </c>
      <c r="P58" s="81" t="str">
        <f t="shared" ca="1" si="4"/>
        <v/>
      </c>
      <c r="Q58" s="81" t="str">
        <f t="shared" ca="1" si="5"/>
        <v/>
      </c>
      <c r="S58" s="83" t="str">
        <f ca="1">IF(B58="","",IF($B$2="R&amp;T Level 5 - Clinical Lecturers (Vet School)",SUMIF('Points Lookup'!$V:$V,$B58,'Points Lookup'!$W:$W),IF($B$2="R&amp;T Level 6 - Clinical Associate Professors and Clinical Readers (Vet School)",SUMIF('Points Lookup'!$AC:$AC,$B58,'Points Lookup'!$AD:$AD),"")))</f>
        <v/>
      </c>
      <c r="T58" s="84" t="str">
        <f ca="1">IF(B58="","",IF($B$2="R&amp;T Level 5 - Clinical Lecturers (Vet School)",$C58-SUMIF('Points Lookup'!$V:$V,$B58,'Points Lookup'!$X:$X),IF($B$2="R&amp;T Level 6 - Clinical Associate Professors and Clinical Readers (Vet School)",$C58-SUMIF('Points Lookup'!$AC:$AC,$B58,'Points Lookup'!$AE:$AE),"")))</f>
        <v/>
      </c>
      <c r="U58" s="83" t="str">
        <f ca="1">IF(B58="","",IF($B$2="R&amp;T Level 5 - Clinical Lecturers (Vet School)",SUMIF('Points Lookup'!$V:$V,$B58,'Points Lookup'!$Z:$Z),IF($B$2="R&amp;T Level 6 - Clinical Associate Professors and Clinical Readers (Vet School)",SUMIF('Points Lookup'!$AC:$AC,$B58,'Points Lookup'!$AG:$AG),"")))</f>
        <v/>
      </c>
      <c r="V58" s="84" t="str">
        <f t="shared" ca="1" si="6"/>
        <v/>
      </c>
      <c r="AA58" s="174">
        <v>52</v>
      </c>
    </row>
    <row r="59" spans="2:27" x14ac:dyDescent="0.25">
      <c r="B59" s="68" t="str">
        <f ca="1">IFERROR(INDEX('Points Lookup'!$A:$A,MATCH($AA59,'Points Lookup'!$AN:$AN,0)),"")</f>
        <v/>
      </c>
      <c r="C59" s="81" t="str">
        <f ca="1">IF(B59="","",SUMIF(INDIRECT("'Points Lookup'!"&amp;VLOOKUP($B$2,Grades!A:BU,72,FALSE)&amp;":"&amp;VLOOKUP($B$2,Grades!A:BU,72,FALSE)),B59,INDIRECT("'Points Lookup'!"&amp;VLOOKUP($B$2,Grades!A:BU,73,FALSE)&amp;":"&amp;VLOOKUP($B$2,Grades!A:BU,73,FALSE))))</f>
        <v/>
      </c>
      <c r="D59" s="82" t="str">
        <f ca="1">IF(B59="","",IF(AND(VLOOKUP($B$2,Grades!$A:$BS,71,0)="Y",B59&lt;8),VLOOKUP($B59,Thresholds_Rates!$I$15:$J$19,2,FALSE),"-"))</f>
        <v/>
      </c>
      <c r="E59" s="81"/>
      <c r="F59" s="81" t="str">
        <f ca="1">IF($B59="","",IF(SUMIF(Grades!$A:$A,$B$2,Grades!$BO:$BO)=0,"-",IF(AND(VLOOKUP($B$2,Grades!$A:$BV,74,FALSE)="YES",B59&lt;Thresholds_Rates!$C$16),"-",$C59*Thresholds_Rates!$F$15)))</f>
        <v/>
      </c>
      <c r="G59" s="81" t="str">
        <f ca="1">IF(B59="","",IF(OR($B$2="Salary Points 3 to 57",$B$2="Salary Points 3 to 57 (post-pay award)"),"-",IF(SUMIF(Grades!$A:$A,$B$2,Grades!$BP:$BP)=0,"-",$C59*Thresholds_Rates!$F$16)))</f>
        <v/>
      </c>
      <c r="H59" s="81" t="str">
        <f ca="1">IF(B59="","",IF($B$2="Apprenticeship","-",IF(SUMIF(Grades!$A:$A,$B$2,Grades!$BQ:$BQ)=0,"-",IF(AND(VLOOKUP($B$2,Grades!$A:$BW,75,FALSE)="YES",B59&gt;Thresholds_Rates!$C$17),"-",$C59*Thresholds_Rates!$F$17))))</f>
        <v/>
      </c>
      <c r="I59" s="81" t="str">
        <f ca="1">IF($B59="","",IF($C59=0,0,ROUND(($C59-(Thresholds_Rates!$C$5*12))*Thresholds_Rates!$C$10,0)))</f>
        <v/>
      </c>
      <c r="J59" s="81" t="str">
        <f ca="1">IF(B59="","",(C59*Thresholds_Rates!$C$12))</f>
        <v/>
      </c>
      <c r="K59" s="81" t="str">
        <f ca="1">IF(B59="","",IF(SUMIF(Grades!$A:$A,$B$2,Grades!$BR:$BR)=0,"-",IF(AND(VLOOKUP($B$2,Grades!$A:$BW,75,FALSE)="YES",B59&gt;Thresholds_Rates!$C$17),"-",$C59*Thresholds_Rates!$F$18)))</f>
        <v/>
      </c>
      <c r="L59" s="68"/>
      <c r="M59" s="81" t="str">
        <f t="shared" ca="1" si="1"/>
        <v/>
      </c>
      <c r="N59" s="81" t="str">
        <f t="shared" ca="1" si="2"/>
        <v/>
      </c>
      <c r="O59" s="81" t="str">
        <f t="shared" ca="1" si="3"/>
        <v/>
      </c>
      <c r="P59" s="81" t="str">
        <f t="shared" ca="1" si="4"/>
        <v/>
      </c>
      <c r="Q59" s="81" t="str">
        <f t="shared" ca="1" si="5"/>
        <v/>
      </c>
      <c r="S59" s="83" t="str">
        <f ca="1">IF(B59="","",IF($B$2="R&amp;T Level 5 - Clinical Lecturers (Vet School)",SUMIF('Points Lookup'!$V:$V,$B59,'Points Lookup'!$W:$W),IF($B$2="R&amp;T Level 6 - Clinical Associate Professors and Clinical Readers (Vet School)",SUMIF('Points Lookup'!$AC:$AC,$B59,'Points Lookup'!$AD:$AD),"")))</f>
        <v/>
      </c>
      <c r="T59" s="84" t="str">
        <f ca="1">IF(B59="","",IF($B$2="R&amp;T Level 5 - Clinical Lecturers (Vet School)",$C59-SUMIF('Points Lookup'!$V:$V,$B59,'Points Lookup'!$X:$X),IF($B$2="R&amp;T Level 6 - Clinical Associate Professors and Clinical Readers (Vet School)",$C59-SUMIF('Points Lookup'!$AC:$AC,$B59,'Points Lookup'!$AE:$AE),"")))</f>
        <v/>
      </c>
      <c r="U59" s="83" t="str">
        <f ca="1">IF(B59="","",IF($B$2="R&amp;T Level 5 - Clinical Lecturers (Vet School)",SUMIF('Points Lookup'!$V:$V,$B59,'Points Lookup'!$Z:$Z),IF($B$2="R&amp;T Level 6 - Clinical Associate Professors and Clinical Readers (Vet School)",SUMIF('Points Lookup'!$AC:$AC,$B59,'Points Lookup'!$AG:$AG),"")))</f>
        <v/>
      </c>
      <c r="V59" s="84" t="str">
        <f t="shared" ca="1" si="6"/>
        <v/>
      </c>
      <c r="AA59" s="174">
        <v>53</v>
      </c>
    </row>
    <row r="60" spans="2:27" x14ac:dyDescent="0.25">
      <c r="B60" s="68" t="str">
        <f ca="1">IFERROR(INDEX('Points Lookup'!$A:$A,MATCH($AA60,'Points Lookup'!$AN:$AN,0)),"")</f>
        <v/>
      </c>
      <c r="C60" s="81" t="str">
        <f ca="1">IF(B60="","",SUMIF(INDIRECT("'Points Lookup'!"&amp;VLOOKUP($B$2,Grades!A:BU,72,FALSE)&amp;":"&amp;VLOOKUP($B$2,Grades!A:BU,72,FALSE)),B60,INDIRECT("'Points Lookup'!"&amp;VLOOKUP($B$2,Grades!A:BU,73,FALSE)&amp;":"&amp;VLOOKUP($B$2,Grades!A:BU,73,FALSE))))</f>
        <v/>
      </c>
      <c r="D60" s="82" t="str">
        <f ca="1">IF(B60="","",IF(AND(VLOOKUP($B$2,Grades!$A:$BS,71,0)="Y",B60&lt;8),VLOOKUP($B60,Thresholds_Rates!$I$15:$J$19,2,FALSE),"-"))</f>
        <v/>
      </c>
      <c r="E60" s="81"/>
      <c r="F60" s="81" t="str">
        <f ca="1">IF($B60="","",IF(SUMIF(Grades!$A:$A,$B$2,Grades!$BO:$BO)=0,"-",IF(AND(VLOOKUP($B$2,Grades!$A:$BV,74,FALSE)="YES",B60&lt;Thresholds_Rates!$C$16),"-",$C60*Thresholds_Rates!$F$15)))</f>
        <v/>
      </c>
      <c r="G60" s="81" t="str">
        <f ca="1">IF(B60="","",IF(OR($B$2="Salary Points 3 to 57",$B$2="Salary Points 3 to 57 (post-pay award)"),"-",IF(SUMIF(Grades!$A:$A,$B$2,Grades!$BP:$BP)=0,"-",$C60*Thresholds_Rates!$F$16)))</f>
        <v/>
      </c>
      <c r="H60" s="81" t="str">
        <f ca="1">IF(B60="","",IF($B$2="Apprenticeship","-",IF(SUMIF(Grades!$A:$A,$B$2,Grades!$BQ:$BQ)=0,"-",IF(AND(VLOOKUP($B$2,Grades!$A:$BW,75,FALSE)="YES",B60&gt;Thresholds_Rates!$C$17),"-",$C60*Thresholds_Rates!$F$17))))</f>
        <v/>
      </c>
      <c r="I60" s="81" t="str">
        <f ca="1">IF($B60="","",IF($C60=0,0,ROUND(($C60-(Thresholds_Rates!$C$5*12))*Thresholds_Rates!$C$10,0)))</f>
        <v/>
      </c>
      <c r="J60" s="81" t="str">
        <f ca="1">IF(B60="","",(C60*Thresholds_Rates!$C$12))</f>
        <v/>
      </c>
      <c r="K60" s="81" t="str">
        <f ca="1">IF(B60="","",IF(SUMIF(Grades!$A:$A,$B$2,Grades!$BR:$BR)=0,"-",IF(AND(VLOOKUP($B$2,Grades!$A:$BW,75,FALSE)="YES",B60&gt;Thresholds_Rates!$C$17),"-",$C60*Thresholds_Rates!$F$18)))</f>
        <v/>
      </c>
      <c r="L60" s="68"/>
      <c r="M60" s="81" t="str">
        <f t="shared" ca="1" si="1"/>
        <v/>
      </c>
      <c r="N60" s="81" t="str">
        <f t="shared" ca="1" si="2"/>
        <v/>
      </c>
      <c r="O60" s="81" t="str">
        <f t="shared" ca="1" si="3"/>
        <v/>
      </c>
      <c r="P60" s="81" t="str">
        <f t="shared" ca="1" si="4"/>
        <v/>
      </c>
      <c r="Q60" s="81" t="str">
        <f t="shared" ca="1" si="5"/>
        <v/>
      </c>
      <c r="S60" s="83" t="str">
        <f ca="1">IF(B60="","",IF($B$2="R&amp;T Level 5 - Clinical Lecturers (Vet School)",SUMIF('Points Lookup'!$V:$V,$B60,'Points Lookup'!$W:$W),IF($B$2="R&amp;T Level 6 - Clinical Associate Professors and Clinical Readers (Vet School)",SUMIF('Points Lookup'!$AC:$AC,$B60,'Points Lookup'!$AD:$AD),"")))</f>
        <v/>
      </c>
      <c r="T60" s="84" t="str">
        <f ca="1">IF(B60="","",IF($B$2="R&amp;T Level 5 - Clinical Lecturers (Vet School)",$C60-SUMIF('Points Lookup'!$V:$V,$B60,'Points Lookup'!$X:$X),IF($B$2="R&amp;T Level 6 - Clinical Associate Professors and Clinical Readers (Vet School)",$C60-SUMIF('Points Lookup'!$AC:$AC,$B60,'Points Lookup'!$AE:$AE),"")))</f>
        <v/>
      </c>
      <c r="U60" s="83" t="str">
        <f ca="1">IF(B60="","",IF($B$2="R&amp;T Level 5 - Clinical Lecturers (Vet School)",SUMIF('Points Lookup'!$V:$V,$B60,'Points Lookup'!$Z:$Z),IF($B$2="R&amp;T Level 6 - Clinical Associate Professors and Clinical Readers (Vet School)",SUMIF('Points Lookup'!$AC:$AC,$B60,'Points Lookup'!$AG:$AG),"")))</f>
        <v/>
      </c>
      <c r="V60" s="84" t="str">
        <f t="shared" ca="1" si="6"/>
        <v/>
      </c>
      <c r="AA60" s="174">
        <v>54</v>
      </c>
    </row>
    <row r="61" spans="2:27" x14ac:dyDescent="0.25">
      <c r="B61" s="68" t="str">
        <f ca="1">IFERROR(INDEX('Points Lookup'!$A:$A,MATCH($AA61,'Points Lookup'!$AN:$AN,0)),"")</f>
        <v/>
      </c>
      <c r="C61" s="81" t="str">
        <f ca="1">IF(B61="","",SUMIF(INDIRECT("'Points Lookup'!"&amp;VLOOKUP($B$2,Grades!A:BU,72,FALSE)&amp;":"&amp;VLOOKUP($B$2,Grades!A:BU,72,FALSE)),B61,INDIRECT("'Points Lookup'!"&amp;VLOOKUP($B$2,Grades!A:BU,73,FALSE)&amp;":"&amp;VLOOKUP($B$2,Grades!A:BU,73,FALSE))))</f>
        <v/>
      </c>
      <c r="D61" s="82" t="str">
        <f ca="1">IF(B61="","",IF(AND(VLOOKUP($B$2,Grades!$A:$BS,71,0)="Y",B61&lt;8),VLOOKUP($B61,Thresholds_Rates!$I$15:$J$19,2,FALSE),"-"))</f>
        <v/>
      </c>
      <c r="E61" s="81"/>
      <c r="F61" s="81" t="str">
        <f ca="1">IF($B61="","",IF(SUMIF(Grades!$A:$A,$B$2,Grades!$BO:$BO)=0,"-",IF(AND(VLOOKUP($B$2,Grades!$A:$BV,74,FALSE)="YES",B61&lt;Thresholds_Rates!$C$16),"-",$C61*Thresholds_Rates!$F$15)))</f>
        <v/>
      </c>
      <c r="G61" s="81" t="str">
        <f ca="1">IF(B61="","",IF(OR($B$2="Salary Points 3 to 57",$B$2="Salary Points 3 to 57 (post-pay award)"),"-",IF(SUMIF(Grades!$A:$A,$B$2,Grades!$BP:$BP)=0,"-",$C61*Thresholds_Rates!$F$16)))</f>
        <v/>
      </c>
      <c r="H61" s="81" t="str">
        <f ca="1">IF(B61="","",IF($B$2="Apprenticeship","-",IF(SUMIF(Grades!$A:$A,$B$2,Grades!$BQ:$BQ)=0,"-",IF(AND(VLOOKUP($B$2,Grades!$A:$BW,75,FALSE)="YES",B61&gt;Thresholds_Rates!$C$17),"-",$C61*Thresholds_Rates!$F$17))))</f>
        <v/>
      </c>
      <c r="I61" s="81" t="str">
        <f ca="1">IF($B61="","",IF($C61=0,0,ROUND(($C61-(Thresholds_Rates!$C$5*12))*Thresholds_Rates!$C$10,0)))</f>
        <v/>
      </c>
      <c r="J61" s="81" t="str">
        <f ca="1">IF(B61="","",(C61*Thresholds_Rates!$C$12))</f>
        <v/>
      </c>
      <c r="K61" s="81" t="str">
        <f ca="1">IF(B61="","",IF(SUMIF(Grades!$A:$A,$B$2,Grades!$BR:$BR)=0,"-",IF(AND(VLOOKUP($B$2,Grades!$A:$BW,75,FALSE)="YES",B61&gt;Thresholds_Rates!$C$17),"-",$C61*Thresholds_Rates!$F$18)))</f>
        <v/>
      </c>
      <c r="L61" s="68"/>
      <c r="M61" s="81" t="str">
        <f t="shared" ca="1" si="1"/>
        <v/>
      </c>
      <c r="N61" s="81" t="str">
        <f t="shared" ca="1" si="2"/>
        <v/>
      </c>
      <c r="O61" s="81" t="str">
        <f t="shared" ca="1" si="3"/>
        <v/>
      </c>
      <c r="P61" s="81" t="str">
        <f t="shared" ca="1" si="4"/>
        <v/>
      </c>
      <c r="Q61" s="81" t="str">
        <f t="shared" ca="1" si="5"/>
        <v/>
      </c>
      <c r="S61" s="83" t="str">
        <f ca="1">IF(B61="","",IF($B$2="R&amp;T Level 5 - Clinical Lecturers (Vet School)",SUMIF('Points Lookup'!$V:$V,$B61,'Points Lookup'!$W:$W),IF($B$2="R&amp;T Level 6 - Clinical Associate Professors and Clinical Readers (Vet School)",SUMIF('Points Lookup'!$AC:$AC,$B61,'Points Lookup'!$AD:$AD),"")))</f>
        <v/>
      </c>
      <c r="T61" s="84" t="str">
        <f ca="1">IF(B61="","",IF($B$2="R&amp;T Level 5 - Clinical Lecturers (Vet School)",$C61-SUMIF('Points Lookup'!$V:$V,$B61,'Points Lookup'!$X:$X),IF($B$2="R&amp;T Level 6 - Clinical Associate Professors and Clinical Readers (Vet School)",$C61-SUMIF('Points Lookup'!$AC:$AC,$B61,'Points Lookup'!$AE:$AE),"")))</f>
        <v/>
      </c>
      <c r="U61" s="83" t="str">
        <f ca="1">IF(B61="","",IF($B$2="R&amp;T Level 5 - Clinical Lecturers (Vet School)",SUMIF('Points Lookup'!$V:$V,$B61,'Points Lookup'!$Z:$Z),IF($B$2="R&amp;T Level 6 - Clinical Associate Professors and Clinical Readers (Vet School)",SUMIF('Points Lookup'!$AC:$AC,$B61,'Points Lookup'!$AG:$AG),"")))</f>
        <v/>
      </c>
      <c r="V61" s="84" t="str">
        <f t="shared" ca="1" si="6"/>
        <v/>
      </c>
      <c r="AA61" s="174">
        <v>55</v>
      </c>
    </row>
    <row r="62" spans="2:27" x14ac:dyDescent="0.25">
      <c r="B62" s="68" t="str">
        <f ca="1">IFERROR(INDEX('Points Lookup'!$A:$A,MATCH($AA62,'Points Lookup'!$AN:$AN,0)),"")</f>
        <v/>
      </c>
      <c r="C62" s="81" t="str">
        <f ca="1">IF(B62="","",SUMIF(INDIRECT("'Points Lookup'!"&amp;VLOOKUP($B$2,Grades!A:BU,72,FALSE)&amp;":"&amp;VLOOKUP($B$2,Grades!A:BU,72,FALSE)),B62,INDIRECT("'Points Lookup'!"&amp;VLOOKUP($B$2,Grades!A:BU,73,FALSE)&amp;":"&amp;VLOOKUP($B$2,Grades!A:BU,73,FALSE))))</f>
        <v/>
      </c>
      <c r="D62" s="81"/>
      <c r="E62" s="81"/>
      <c r="F62" s="81" t="str">
        <f ca="1">IF($B62="","",IF(SUMIF(Grades!$A:$A,$B$2,Grades!$BO:$BO)=0,"-",IF(AND(VLOOKUP($B$2,Grades!$A:$BV,74,FALSE)="YES",B62&lt;Thresholds_Rates!$C$16),"-",$C62*Thresholds_Rates!$F$15)))</f>
        <v/>
      </c>
      <c r="G62" s="81" t="str">
        <f ca="1">IF(B62="","",IF(OR($B$2="Salary Points 3 to 57",$B$2="Salary Points 3 to 57 (post-pay award)"),"-",IF(SUMIF(Grades!$A:$A,$B$2,Grades!$BP:$BP)=0,"-",$C62*Thresholds_Rates!$F$16)))</f>
        <v/>
      </c>
      <c r="H62" s="81" t="str">
        <f ca="1">IF(B62="","",IF($B$2="Apprenticeship","-",IF(SUMIF(Grades!$A:$A,$B$2,Grades!$BQ:$BQ)=0,"-",IF(AND(VLOOKUP($B$2,Grades!$A:$BW,75,FALSE)="YES",B62&gt;Thresholds_Rates!$C$17),"-",$C62*Thresholds_Rates!$F$17))))</f>
        <v/>
      </c>
      <c r="I62" s="81" t="str">
        <f ca="1">IF($B62="","",IF($C62=0,0,ROUND(($C62-(Thresholds_Rates!$C$5*12))*Thresholds_Rates!$C$10,0)))</f>
        <v/>
      </c>
      <c r="J62" s="81" t="str">
        <f ca="1">IF(B62="","",(C62*Thresholds_Rates!$C$12))</f>
        <v/>
      </c>
      <c r="K62" s="81" t="str">
        <f ca="1">IF(B62="","",IF(SUMIF(Grades!$A:$A,$B$2,Grades!$BR:$BR)=0,"-",IF(AND(VLOOKUP($B$2,Grades!$A:$BW,75,FALSE)="YES",B62&gt;Thresholds_Rates!$C$17),"-",$C62*Thresholds_Rates!$F$18)))</f>
        <v/>
      </c>
      <c r="L62" s="68"/>
      <c r="M62" s="81" t="str">
        <f t="shared" ca="1" si="1"/>
        <v/>
      </c>
      <c r="N62" s="81" t="str">
        <f t="shared" ca="1" si="2"/>
        <v/>
      </c>
      <c r="O62" s="81" t="str">
        <f t="shared" ca="1" si="3"/>
        <v/>
      </c>
      <c r="P62" s="81" t="str">
        <f t="shared" ca="1" si="4"/>
        <v/>
      </c>
      <c r="Q62" s="81" t="str">
        <f t="shared" ca="1" si="5"/>
        <v/>
      </c>
      <c r="S62" s="83" t="str">
        <f ca="1">IF(B62="","",IF($B$2="R&amp;T Level 5 - Clinical Lecturers (Vet School)",SUMIF('Points Lookup'!$V:$V,$B62,'Points Lookup'!$W:$W),IF($B$2="R&amp;T Level 6 - Clinical Associate Professors and Clinical Readers (Vet School)",SUMIF('Points Lookup'!$AC:$AC,$B62,'Points Lookup'!$AD:$AD),"")))</f>
        <v/>
      </c>
      <c r="T62" s="84" t="str">
        <f ca="1">IF(B62="","",IF($B$2="R&amp;T Level 5 - Clinical Lecturers (Vet School)",$C62-SUMIF('Points Lookup'!$V:$V,$B62,'Points Lookup'!$X:$X),IF($B$2="R&amp;T Level 6 - Clinical Associate Professors and Clinical Readers (Vet School)",$C62-SUMIF('Points Lookup'!$AC:$AC,$B62,'Points Lookup'!$AE:$AE),"")))</f>
        <v/>
      </c>
      <c r="U62" s="83" t="str">
        <f ca="1">IF(B62="","",IF($B$2="R&amp;T Level 5 - Clinical Lecturers (Vet School)",SUMIF('Points Lookup'!$V:$V,$B62,'Points Lookup'!$Z:$Z),IF($B$2="R&amp;T Level 6 - Clinical Associate Professors and Clinical Readers (Vet School)",SUMIF('Points Lookup'!$AC:$AC,$B62,'Points Lookup'!$AG:$AG),"")))</f>
        <v/>
      </c>
      <c r="V62" s="84" t="str">
        <f t="shared" ca="1" si="6"/>
        <v/>
      </c>
      <c r="AA62" s="174">
        <v>56</v>
      </c>
    </row>
    <row r="63" spans="2:27" x14ac:dyDescent="0.25">
      <c r="B63" s="68" t="str">
        <f ca="1">IFERROR(INDEX('Points Lookup'!$A:$A,MATCH($AA63,'Points Lookup'!$AN:$AN,0)),"")</f>
        <v/>
      </c>
      <c r="C63" s="81" t="str">
        <f ca="1">IF(B63="","",SUMIF(INDIRECT("'Points Lookup'!"&amp;VLOOKUP($B$2,Grades!A:BU,72,FALSE)&amp;":"&amp;VLOOKUP($B$2,Grades!A:BU,72,FALSE)),B63,INDIRECT("'Points Lookup'!"&amp;VLOOKUP($B$2,Grades!A:BU,73,FALSE)&amp;":"&amp;VLOOKUP($B$2,Grades!A:BU,73,FALSE))))</f>
        <v/>
      </c>
      <c r="D63" s="81"/>
      <c r="E63" s="81"/>
      <c r="F63" s="81" t="str">
        <f ca="1">IF($B63="","",IF(SUMIF(Grades!$A:$A,$B$2,Grades!$BO:$BO)=0,"-",IF(AND(VLOOKUP($B$2,Grades!$A:$BV,74,FALSE)="YES",B63&lt;Thresholds_Rates!$C$16),"-",$C63*Thresholds_Rates!$F$15)))</f>
        <v/>
      </c>
      <c r="G63" s="81" t="str">
        <f ca="1">IF(B63="","",IF(OR($B$2="Salary Points 3 to 57",$B$2="Salary Points 3 to 57 (post-pay award)"),"-",IF(SUMIF(Grades!$A:$A,$B$2,Grades!$BP:$BP)=0,"-",$C63*Thresholds_Rates!$F$16)))</f>
        <v/>
      </c>
      <c r="H63" s="81" t="str">
        <f ca="1">IF(B63="","",IF($B$2="Apprenticeship","-",IF(SUMIF(Grades!$A:$A,$B$2,Grades!$BQ:$BQ)=0,"-",IF(AND(VLOOKUP($B$2,Grades!$A:$BW,75,FALSE)="YES",B63&gt;Thresholds_Rates!$C$17),"-",$C63*Thresholds_Rates!$F$17))))</f>
        <v/>
      </c>
      <c r="I63" s="81" t="str">
        <f ca="1">IF($B63="","",IF($C63=0,0,ROUND(($C63-(Thresholds_Rates!$C$5*12))*Thresholds_Rates!$C$10,0)))</f>
        <v/>
      </c>
      <c r="J63" s="81" t="str">
        <f ca="1">IF(B63="","",(C63*Thresholds_Rates!$C$12))</f>
        <v/>
      </c>
      <c r="K63" s="81" t="str">
        <f ca="1">IF(B63="","",IF(SUMIF(Grades!$A:$A,$B$2,Grades!$BR:$BR)=0,"-",IF(AND(VLOOKUP($B$2,Grades!$A:$BW,75,FALSE)="YES",B63&gt;Thresholds_Rates!$C$17),"-",$C63*Thresholds_Rates!$F$18)))</f>
        <v/>
      </c>
      <c r="L63" s="68"/>
      <c r="M63" s="81" t="str">
        <f t="shared" ca="1" si="1"/>
        <v/>
      </c>
      <c r="N63" s="81" t="str">
        <f t="shared" ca="1" si="2"/>
        <v/>
      </c>
      <c r="O63" s="81" t="str">
        <f t="shared" ca="1" si="3"/>
        <v/>
      </c>
      <c r="P63" s="81" t="str">
        <f t="shared" ca="1" si="4"/>
        <v/>
      </c>
      <c r="Q63" s="81" t="str">
        <f t="shared" ca="1" si="5"/>
        <v/>
      </c>
      <c r="S63" s="83" t="str">
        <f ca="1">IF(B63="","",IF($B$2="R&amp;T Level 5 - Clinical Lecturers (Vet School)",SUMIF('Points Lookup'!$V:$V,$B63,'Points Lookup'!$W:$W),IF($B$2="R&amp;T Level 6 - Clinical Associate Professors and Clinical Readers (Vet School)",SUMIF('Points Lookup'!$AC:$AC,$B63,'Points Lookup'!$AD:$AD),"")))</f>
        <v/>
      </c>
      <c r="T63" s="84" t="str">
        <f ca="1">IF(B63="","",IF($B$2="R&amp;T Level 5 - Clinical Lecturers (Vet School)",$C63-SUMIF('Points Lookup'!$V:$V,$B63,'Points Lookup'!$X:$X),IF($B$2="R&amp;T Level 6 - Clinical Associate Professors and Clinical Readers (Vet School)",$C63-SUMIF('Points Lookup'!$AC:$AC,$B63,'Points Lookup'!$AE:$AE),"")))</f>
        <v/>
      </c>
      <c r="U63" s="83" t="str">
        <f ca="1">IF(B63="","",IF($B$2="R&amp;T Level 5 - Clinical Lecturers (Vet School)",SUMIF('Points Lookup'!$V:$V,$B63,'Points Lookup'!$Z:$Z),IF($B$2="R&amp;T Level 6 - Clinical Associate Professors and Clinical Readers (Vet School)",SUMIF('Points Lookup'!$AC:$AC,$B63,'Points Lookup'!$AG:$AG),"")))</f>
        <v/>
      </c>
      <c r="V63" s="84" t="str">
        <f t="shared" ca="1" si="6"/>
        <v/>
      </c>
      <c r="AA63" s="174">
        <v>57</v>
      </c>
    </row>
    <row r="64" spans="2:27" x14ac:dyDescent="0.25">
      <c r="B64" s="68" t="str">
        <f ca="1">IFERROR(INDEX('Points Lookup'!$A:$A,MATCH($AA66,'Points Lookup'!$AN:$AN,0)),"")</f>
        <v/>
      </c>
      <c r="C64" s="81" t="str">
        <f ca="1">IF(B64="","",SUMIF(INDIRECT("'Points Lookup'!"&amp;VLOOKUP($B$2,Grades!A:BU,72,FALSE)&amp;":"&amp;VLOOKUP($B$2,Grades!A:BU,72,FALSE)),B64,INDIRECT("'Points Lookup'!"&amp;VLOOKUP($B$2,Grades!A:BU,73,FALSE)&amp;":"&amp;VLOOKUP($B$2,Grades!A:BU,73,FALSE))))</f>
        <v/>
      </c>
      <c r="D64" s="81"/>
      <c r="E64" s="81"/>
      <c r="F64" s="81" t="str">
        <f ca="1">IF($B64="","",IF(SUMIF(Grades!$A:$A,$B$2,Grades!$BO:$BO)=0,"-",IF(AND(VLOOKUP($B$2,Grades!$A:$BV,74,FALSE)="YES",B64&lt;Thresholds_Rates!$C$16),"-",$C64*Thresholds_Rates!$F$15)))</f>
        <v/>
      </c>
      <c r="G64" s="81" t="str">
        <f ca="1">IF(B64="","",IF(OR($B$2="Salary Points 3 to 57",$B$2="Salary Points 3 to 57 (post-pay award)"),"-",IF(SUMIF(Grades!$A:$A,$B$2,Grades!$BP:$BP)=0,"-",$C64*Thresholds_Rates!$F$16)))</f>
        <v/>
      </c>
      <c r="H64" s="81" t="str">
        <f ca="1">IF(B64="","",IF($B$2="Apprenticeship","-",IF(SUMIF(Grades!$A:$A,$B$2,Grades!$BQ:$BQ)=0,"-",IF(AND(VLOOKUP($B$2,Grades!$A:$BW,75,FALSE)="YES",B64&gt;Thresholds_Rates!$C$17),"-",$C64*Thresholds_Rates!$F$17))))</f>
        <v/>
      </c>
      <c r="I64" s="81" t="str">
        <f ca="1">IF($B64="","",IF($C64=0,0,ROUND(($C64-(Thresholds_Rates!$C$5*12))*Thresholds_Rates!$C$10,0)))</f>
        <v/>
      </c>
      <c r="J64" s="81" t="str">
        <f ca="1">IF(B64="","",(C64*Thresholds_Rates!$C$12))</f>
        <v/>
      </c>
      <c r="K64" s="81" t="str">
        <f ca="1">IF(B64="","",IF(SUMIF(Grades!$A:$A,$B$2,Grades!$BR:$BR)=0,"-",IF(AND(VLOOKUP($B$2,Grades!$A:$BW,75,FALSE)="YES",B64&gt;Thresholds_Rates!$C$17),"-",$C64*Thresholds_Rates!$F$18)))</f>
        <v/>
      </c>
      <c r="L64" s="68"/>
      <c r="M64" s="81" t="str">
        <f t="shared" ca="1" si="1"/>
        <v/>
      </c>
      <c r="N64" s="81" t="str">
        <f t="shared" ca="1" si="2"/>
        <v/>
      </c>
      <c r="O64" s="81" t="str">
        <f t="shared" ca="1" si="3"/>
        <v/>
      </c>
      <c r="P64" s="81" t="str">
        <f t="shared" ca="1" si="4"/>
        <v/>
      </c>
      <c r="Q64" s="81" t="str">
        <f t="shared" ca="1" si="5"/>
        <v/>
      </c>
      <c r="S64" s="83" t="str">
        <f ca="1">IF(B64="","",IF($B$2="R&amp;T Level 5 - Clinical Lecturers (Vet School)",SUMIF('Points Lookup'!$V:$V,$B64,'Points Lookup'!$W:$W),IF($B$2="R&amp;T Level 6 - Clinical Associate Professors and Clinical Readers (Vet School)",SUMIF('Points Lookup'!$AC:$AC,$B64,'Points Lookup'!$AD:$AD),"")))</f>
        <v/>
      </c>
      <c r="T64" s="84" t="str">
        <f ca="1">IF(B64="","",IF($B$2="R&amp;T Level 5 - Clinical Lecturers (Vet School)",$C64-SUMIF('Points Lookup'!$V:$V,$B64,'Points Lookup'!$X:$X),IF($B$2="R&amp;T Level 6 - Clinical Associate Professors and Clinical Readers (Vet School)",$C64-SUMIF('Points Lookup'!$AC:$AC,$B64,'Points Lookup'!$AE:$AE),"")))</f>
        <v/>
      </c>
      <c r="U64" s="83" t="str">
        <f ca="1">IF(B64="","",IF($B$2="R&amp;T Level 5 - Clinical Lecturers (Vet School)",SUMIF('Points Lookup'!$V:$V,$B64,'Points Lookup'!$Z:$Z),IF($B$2="R&amp;T Level 6 - Clinical Associate Professors and Clinical Readers (Vet School)",SUMIF('Points Lookup'!$AC:$AC,$B64,'Points Lookup'!$AG:$AG),"")))</f>
        <v/>
      </c>
      <c r="V64" s="84" t="str">
        <f t="shared" ca="1" si="6"/>
        <v/>
      </c>
    </row>
    <row r="65" spans="2:22" x14ac:dyDescent="0.25">
      <c r="B65" s="68" t="str">
        <f ca="1">IFERROR(INDEX('Points Lookup'!$A:$A,MATCH($AA67,'Points Lookup'!$AN:$AN,0)),"")</f>
        <v/>
      </c>
      <c r="C65" s="81" t="str">
        <f ca="1">IF(B65="","",SUMIF(INDIRECT("'Points Lookup'!"&amp;VLOOKUP($B$2,Grades!A:BU,72,FALSE)&amp;":"&amp;VLOOKUP($B$2,Grades!A:BU,72,FALSE)),B65,INDIRECT("'Points Lookup'!"&amp;VLOOKUP($B$2,Grades!A:BU,73,FALSE)&amp;":"&amp;VLOOKUP($B$2,Grades!A:BU,73,FALSE))))</f>
        <v/>
      </c>
      <c r="D65" s="81"/>
      <c r="E65" s="81"/>
      <c r="F65" s="81" t="str">
        <f ca="1">IF($B65="","",IF(SUMIF(Grades!$A:$A,$B$2,Grades!$BO:$BO)=0,"-",IF(AND(VLOOKUP($B$2,Grades!$A:$BV,74,FALSE)="YES",B65&lt;Thresholds_Rates!$C$16),"-",$C65*Thresholds_Rates!$F$15)))</f>
        <v/>
      </c>
      <c r="G65" s="81" t="str">
        <f ca="1">IF(B65="","",IF(OR($B$2="Salary Points 3 to 57",$B$2="Salary Points 3 to 57 (post-pay award)"),"-",IF(SUMIF(Grades!$A:$A,$B$2,Grades!$BP:$BP)=0,"-",$C65*Thresholds_Rates!$F$16)))</f>
        <v/>
      </c>
      <c r="H65" s="81" t="str">
        <f ca="1">IF(B65="","",IF($B$2="Apprenticeship","-",IF(SUMIF(Grades!$A:$A,$B$2,Grades!$BQ:$BQ)=0,"-",IF(AND(VLOOKUP($B$2,Grades!$A:$BW,75,FALSE)="YES",B65&gt;Thresholds_Rates!$C$17),"-",$C65*Thresholds_Rates!$F$17))))</f>
        <v/>
      </c>
      <c r="I65" s="81" t="str">
        <f ca="1">IF($B65="","",IF($C65=0,0,ROUND(($C65-(Thresholds_Rates!$C$5*12))*Thresholds_Rates!$C$10,0)))</f>
        <v/>
      </c>
      <c r="J65" s="81" t="str">
        <f ca="1">IF(B65="","",(C65*Thresholds_Rates!$C$12))</f>
        <v/>
      </c>
      <c r="K65" s="81" t="str">
        <f ca="1">IF(B65="","",IF(SUMIF(Grades!$A:$A,$B$2,Grades!$BR:$BR)=0,"-",IF(AND(VLOOKUP($B$2,Grades!$A:$BW,75,FALSE)="YES",B65&gt;Thresholds_Rates!$C$17),"-",$C65*Thresholds_Rates!$F$18)))</f>
        <v/>
      </c>
      <c r="L65" s="68"/>
      <c r="M65" s="81" t="str">
        <f t="shared" ca="1" si="1"/>
        <v/>
      </c>
      <c r="N65" s="81" t="str">
        <f t="shared" ca="1" si="2"/>
        <v/>
      </c>
      <c r="O65" s="81" t="str">
        <f t="shared" ca="1" si="3"/>
        <v/>
      </c>
      <c r="P65" s="81" t="str">
        <f t="shared" ca="1" si="4"/>
        <v/>
      </c>
      <c r="Q65" s="81" t="str">
        <f t="shared" ca="1" si="5"/>
        <v/>
      </c>
      <c r="S65" s="83" t="str">
        <f ca="1">IF(B65="","",IF($B$2="R&amp;T Level 5 - Clinical Lecturers (Vet School)",SUMIF('Points Lookup'!$V:$V,$B65,'Points Lookup'!$W:$W),IF($B$2="R&amp;T Level 6 - Clinical Associate Professors and Clinical Readers (Vet School)",SUMIF('Points Lookup'!$AC:$AC,$B65,'Points Lookup'!$AD:$AD),"")))</f>
        <v/>
      </c>
      <c r="T65" s="84" t="str">
        <f ca="1">IF(B65="","",IF($B$2="R&amp;T Level 5 - Clinical Lecturers (Vet School)",$C65-SUMIF('Points Lookup'!$V:$V,$B65,'Points Lookup'!$X:$X),IF($B$2="R&amp;T Level 6 - Clinical Associate Professors and Clinical Readers (Vet School)",$C65-SUMIF('Points Lookup'!$AC:$AC,$B65,'Points Lookup'!$AE:$AE),"")))</f>
        <v/>
      </c>
      <c r="U65" s="83" t="str">
        <f ca="1">IF(B65="","",IF($B$2="R&amp;T Level 5 - Clinical Lecturers (Vet School)",SUMIF('Points Lookup'!$V:$V,$B65,'Points Lookup'!$Z:$Z),IF($B$2="R&amp;T Level 6 - Clinical Associate Professors and Clinical Readers (Vet School)",SUMIF('Points Lookup'!$AC:$AC,$B65,'Points Lookup'!$AG:$AG),"")))</f>
        <v/>
      </c>
      <c r="V65" s="84" t="str">
        <f t="shared" ca="1" si="6"/>
        <v/>
      </c>
    </row>
    <row r="66" spans="2:22" x14ac:dyDescent="0.25">
      <c r="B66" s="68" t="str">
        <f ca="1">IFERROR(INDEX('Points Lookup'!$A:$A,MATCH($AA68,'Points Lookup'!$AN:$AN,0)),"")</f>
        <v/>
      </c>
      <c r="C66" s="81" t="str">
        <f ca="1">IF(B66="","",SUMIF(INDIRECT("'Points Lookup'!"&amp;VLOOKUP($B$2,Grades!A:BU,72,FALSE)&amp;":"&amp;VLOOKUP($B$2,Grades!A:BU,72,FALSE)),B66,INDIRECT("'Points Lookup'!"&amp;VLOOKUP($B$2,Grades!A:BU,73,FALSE)&amp;":"&amp;VLOOKUP($B$2,Grades!A:BU,73,FALSE))))</f>
        <v/>
      </c>
      <c r="D66" s="81"/>
      <c r="E66" s="81"/>
      <c r="F66" s="81" t="str">
        <f ca="1">IF($B66="","",IF(SUMIF(Grades!$A:$A,$B$2,Grades!$BO:$BO)=0,"-",IF(AND(VLOOKUP($B$2,Grades!$A:$BV,74,FALSE)="YES",B66&lt;Thresholds_Rates!$C$16),"-",$C66*Thresholds_Rates!$F$15)))</f>
        <v/>
      </c>
      <c r="G66" s="81" t="str">
        <f ca="1">IF(B66="","",IF(OR($B$2="Salary Points 3 to 57",$B$2="Salary Points 3 to 57 (post-pay award)"),"-",IF(SUMIF(Grades!$A:$A,$B$2,Grades!$BP:$BP)=0,"-",$C66*Thresholds_Rates!$F$16)))</f>
        <v/>
      </c>
      <c r="H66" s="81" t="str">
        <f ca="1">IF(B66="","",IF($B$2="Apprenticeship","-",IF(SUMIF(Grades!$A:$A,$B$2,Grades!$BQ:$BQ)=0,"-",IF(AND(VLOOKUP($B$2,Grades!$A:$BW,75,FALSE)="YES",B66&gt;Thresholds_Rates!$C$17),"-",$C66*Thresholds_Rates!$F$17))))</f>
        <v/>
      </c>
      <c r="I66" s="81" t="str">
        <f ca="1">IF($B66="","",IF($C66=0,0,ROUND(($C66-(Thresholds_Rates!$C$5*12))*Thresholds_Rates!$C$10,0)))</f>
        <v/>
      </c>
      <c r="J66" s="81" t="str">
        <f ca="1">IF(B66="","",(C66*Thresholds_Rates!$C$12))</f>
        <v/>
      </c>
      <c r="K66" s="81" t="str">
        <f ca="1">IF(B66="","",IF(SUMIF(Grades!$A:$A,$B$2,Grades!$BR:$BR)=0,"-",IF(AND(VLOOKUP($B$2,Grades!$A:$BW,75,FALSE)="YES",B66&gt;Thresholds_Rates!$C$17),"-",$C66*Thresholds_Rates!$F$18)))</f>
        <v/>
      </c>
      <c r="L66" s="68"/>
      <c r="M66" s="81" t="str">
        <f t="shared" ca="1" si="1"/>
        <v/>
      </c>
      <c r="N66" s="81" t="str">
        <f t="shared" ca="1" si="2"/>
        <v/>
      </c>
      <c r="O66" s="81" t="str">
        <f t="shared" ca="1" si="3"/>
        <v/>
      </c>
      <c r="P66" s="81" t="str">
        <f t="shared" ca="1" si="4"/>
        <v/>
      </c>
      <c r="Q66" s="81" t="str">
        <f t="shared" ca="1" si="5"/>
        <v/>
      </c>
      <c r="S66" s="83" t="str">
        <f ca="1">IF(B66="","",IF($B$2="R&amp;T Level 5 - Clinical Lecturers (Vet School)",SUMIF('Points Lookup'!$V:$V,$B66,'Points Lookup'!$W:$W),IF($B$2="R&amp;T Level 6 - Clinical Associate Professors and Clinical Readers (Vet School)",SUMIF('Points Lookup'!$AC:$AC,$B66,'Points Lookup'!$AD:$AD),"")))</f>
        <v/>
      </c>
      <c r="T66" s="84" t="str">
        <f ca="1">IF(B66="","",IF($B$2="R&amp;T Level 5 - Clinical Lecturers (Vet School)",$C66-SUMIF('Points Lookup'!$V:$V,$B66,'Points Lookup'!$X:$X),IF($B$2="R&amp;T Level 6 - Clinical Associate Professors and Clinical Readers (Vet School)",$C66-SUMIF('Points Lookup'!$AC:$AC,$B66,'Points Lookup'!$AE:$AE),"")))</f>
        <v/>
      </c>
      <c r="U66" s="83" t="str">
        <f ca="1">IF(B66="","",IF($B$2="R&amp;T Level 5 - Clinical Lecturers (Vet School)",SUMIF('Points Lookup'!$V:$V,$B66,'Points Lookup'!$Z:$Z),IF($B$2="R&amp;T Level 6 - Clinical Associate Professors and Clinical Readers (Vet School)",SUMIF('Points Lookup'!$AC:$AC,$B66,'Points Lookup'!$AG:$AG),"")))</f>
        <v/>
      </c>
      <c r="V66" s="84" t="str">
        <f t="shared" ca="1" si="6"/>
        <v/>
      </c>
    </row>
    <row r="67" spans="2:22" x14ac:dyDescent="0.25">
      <c r="B67" s="68" t="str">
        <f ca="1">IFERROR(INDEX('Points Lookup'!$A:$A,MATCH($AA69,'Points Lookup'!$AN:$AN,0)),"")</f>
        <v/>
      </c>
      <c r="C67" s="81" t="str">
        <f ca="1">IF(B67="","",SUMIF(INDIRECT("'Points Lookup'!"&amp;VLOOKUP($B$2,Grades!A:BU,72,FALSE)&amp;":"&amp;VLOOKUP($B$2,Grades!A:BU,72,FALSE)),B67,INDIRECT("'Points Lookup'!"&amp;VLOOKUP($B$2,Grades!A:BU,73,FALSE)&amp;":"&amp;VLOOKUP($B$2,Grades!A:BU,73,FALSE))))</f>
        <v/>
      </c>
      <c r="D67" s="81"/>
      <c r="E67" s="81"/>
      <c r="F67" s="81" t="str">
        <f ca="1">IF($B67="","",IF(SUMIF(Grades!$A:$A,$B$2,Grades!$BO:$BO)=0,"-",IF(AND(VLOOKUP($B$2,Grades!$A:$BV,74,FALSE)="YES",B67&lt;Thresholds_Rates!$C$16),"-",$C67*Thresholds_Rates!$F$15)))</f>
        <v/>
      </c>
      <c r="G67" s="81" t="str">
        <f ca="1">IF(B67="","",IF(OR($B$2="Salary Points 3 to 57",$B$2="Salary Points 3 to 57 (post-pay award)"),"-",IF(SUMIF(Grades!$A:$A,$B$2,Grades!$BP:$BP)=0,"-",$C67*Thresholds_Rates!$F$16)))</f>
        <v/>
      </c>
      <c r="H67" s="81" t="str">
        <f ca="1">IF(B67="","",IF($B$2="Apprenticeship","-",IF(SUMIF(Grades!$A:$A,$B$2,Grades!$BQ:$BQ)=0,"-",IF(AND(VLOOKUP($B$2,Grades!$A:$BW,75,FALSE)="YES",B67&gt;Thresholds_Rates!$C$17),"-",$C67*Thresholds_Rates!$F$17))))</f>
        <v/>
      </c>
      <c r="I67" s="81" t="str">
        <f ca="1">IF($B67="","",IF($C67=0,0,ROUND(($C67-(Thresholds_Rates!$C$5*12))*Thresholds_Rates!$C$10,0)))</f>
        <v/>
      </c>
      <c r="J67" s="81" t="str">
        <f ca="1">IF(B67="","",(C67*Thresholds_Rates!$C$12))</f>
        <v/>
      </c>
      <c r="K67" s="81" t="str">
        <f ca="1">IF(B67="","",IF(SUMIF(Grades!$A:$A,$B$2,Grades!$BR:$BR)=0,"-",IF(AND(VLOOKUP($B$2,Grades!$A:$BW,75,FALSE)="YES",B67&gt;Thresholds_Rates!$C$17),"-",$C67*Thresholds_Rates!$F$18)))</f>
        <v/>
      </c>
      <c r="L67" s="68"/>
      <c r="M67" s="81" t="str">
        <f t="shared" ca="1" si="1"/>
        <v/>
      </c>
      <c r="N67" s="81" t="str">
        <f t="shared" ca="1" si="2"/>
        <v/>
      </c>
      <c r="O67" s="81" t="str">
        <f t="shared" ca="1" si="3"/>
        <v/>
      </c>
      <c r="P67" s="81" t="str">
        <f t="shared" ca="1" si="4"/>
        <v/>
      </c>
      <c r="Q67" s="81" t="str">
        <f t="shared" ca="1" si="5"/>
        <v/>
      </c>
      <c r="S67" s="83" t="str">
        <f ca="1">IF(B67="","",IF($B$2="R&amp;T Level 5 - Clinical Lecturers (Vet School)",SUMIF('Points Lookup'!$V:$V,$B67,'Points Lookup'!$W:$W),IF($B$2="R&amp;T Level 6 - Clinical Associate Professors and Clinical Readers (Vet School)",SUMIF('Points Lookup'!$AC:$AC,$B67,'Points Lookup'!$AD:$AD),"")))</f>
        <v/>
      </c>
      <c r="T67" s="84" t="str">
        <f ca="1">IF(B67="","",IF($B$2="R&amp;T Level 5 - Clinical Lecturers (Vet School)",$C67-SUMIF('Points Lookup'!$V:$V,$B67,'Points Lookup'!$X:$X),IF($B$2="R&amp;T Level 6 - Clinical Associate Professors and Clinical Readers (Vet School)",$C67-SUMIF('Points Lookup'!$AC:$AC,$B67,'Points Lookup'!$AE:$AE),"")))</f>
        <v/>
      </c>
      <c r="U67" s="83" t="str">
        <f ca="1">IF(B67="","",IF($B$2="R&amp;T Level 5 - Clinical Lecturers (Vet School)",SUMIF('Points Lookup'!$V:$V,$B67,'Points Lookup'!$Z:$Z),IF($B$2="R&amp;T Level 6 - Clinical Associate Professors and Clinical Readers (Vet School)",SUMIF('Points Lookup'!$AC:$AC,$B67,'Points Lookup'!$AG:$AG),"")))</f>
        <v/>
      </c>
      <c r="V67" s="84" t="str">
        <f t="shared" ca="1" si="6"/>
        <v/>
      </c>
    </row>
    <row r="68" spans="2:22" x14ac:dyDescent="0.25">
      <c r="B68" s="68" t="str">
        <f ca="1">IFERROR(INDEX('Points Lookup'!$A:$A,MATCH($AA70,'Points Lookup'!$AN:$AN,0)),"")</f>
        <v/>
      </c>
      <c r="C68" s="81" t="str">
        <f ca="1">IF(B68="","",SUMIF(INDIRECT("'Points Lookup'!"&amp;VLOOKUP($B$2,Grades!A:BU,72,FALSE)&amp;":"&amp;VLOOKUP($B$2,Grades!A:BU,72,FALSE)),B68,INDIRECT("'Points Lookup'!"&amp;VLOOKUP($B$2,Grades!A:BU,73,FALSE)&amp;":"&amp;VLOOKUP($B$2,Grades!A:BU,73,FALSE))))</f>
        <v/>
      </c>
      <c r="D68" s="81"/>
      <c r="E68" s="81"/>
      <c r="F68" s="81" t="str">
        <f ca="1">IF($B68="","",IF(SUMIF(Grades!$A:$A,$B$2,Grades!$BO:$BO)=0,"-",IF(AND(VLOOKUP($B$2,Grades!$A:$BV,74,FALSE)="YES",B68&lt;Thresholds_Rates!$C$16),"-",$C68*Thresholds_Rates!$F$15)))</f>
        <v/>
      </c>
      <c r="G68" s="81" t="str">
        <f ca="1">IF(B68="","",IF(OR($B$2="Salary Points 3 to 57",$B$2="Salary Points 3 to 57 (post-pay award)"),"-",IF(SUMIF(Grades!$A:$A,$B$2,Grades!$BP:$BP)=0,"-",$C68*Thresholds_Rates!$F$16)))</f>
        <v/>
      </c>
      <c r="H68" s="81" t="str">
        <f ca="1">IF(B68="","",IF($B$2="Apprenticeship","-",IF(SUMIF(Grades!$A:$A,$B$2,Grades!$BQ:$BQ)=0,"-",IF(AND(VLOOKUP($B$2,Grades!$A:$BW,75,FALSE)="YES",B68&gt;Thresholds_Rates!$C$17),"-",$C68*Thresholds_Rates!$F$17))))</f>
        <v/>
      </c>
      <c r="I68" s="81" t="str">
        <f ca="1">IF($B68="","",IF($C68=0,0,ROUND(($C68-(Thresholds_Rates!$C$5*12))*Thresholds_Rates!$C$10,0)))</f>
        <v/>
      </c>
      <c r="J68" s="81" t="str">
        <f ca="1">IF(B68="","",(C68*Thresholds_Rates!$C$12))</f>
        <v/>
      </c>
      <c r="K68" s="81" t="str">
        <f ca="1">IF(B68="","",IF(SUMIF(Grades!$A:$A,$B$2,Grades!$BR:$BR)=0,"-",IF(AND(VLOOKUP($B$2,Grades!$A:$BW,75,FALSE)="YES",B68&gt;Thresholds_Rates!$C$17),"-",$C68*Thresholds_Rates!$F$18)))</f>
        <v/>
      </c>
      <c r="L68" s="68"/>
      <c r="M68" s="81" t="str">
        <f t="shared" ca="1" si="1"/>
        <v/>
      </c>
      <c r="N68" s="81" t="str">
        <f t="shared" ca="1" si="2"/>
        <v/>
      </c>
      <c r="O68" s="81" t="str">
        <f t="shared" ca="1" si="3"/>
        <v/>
      </c>
      <c r="P68" s="81" t="str">
        <f t="shared" ca="1" si="4"/>
        <v/>
      </c>
      <c r="Q68" s="81" t="str">
        <f t="shared" ca="1" si="5"/>
        <v/>
      </c>
      <c r="S68" s="83" t="str">
        <f ca="1">IF(B68="","",IF($B$2="R&amp;T Level 5 - Clinical Lecturers (Vet School)",SUMIF('Points Lookup'!$V:$V,$B68,'Points Lookup'!$W:$W),IF($B$2="R&amp;T Level 6 - Clinical Associate Professors and Clinical Readers (Vet School)",SUMIF('Points Lookup'!$AC:$AC,$B68,'Points Lookup'!$AD:$AD),"")))</f>
        <v/>
      </c>
      <c r="T68" s="84" t="str">
        <f ca="1">IF(B68="","",IF($B$2="R&amp;T Level 5 - Clinical Lecturers (Vet School)",$C68-SUMIF('Points Lookup'!$V:$V,$B68,'Points Lookup'!$X:$X),IF($B$2="R&amp;T Level 6 - Clinical Associate Professors and Clinical Readers (Vet School)",$C68-SUMIF('Points Lookup'!$AC:$AC,$B68,'Points Lookup'!$AE:$AE),"")))</f>
        <v/>
      </c>
      <c r="U68" s="83" t="str">
        <f ca="1">IF(B68="","",IF($B$2="R&amp;T Level 5 - Clinical Lecturers (Vet School)",SUMIF('Points Lookup'!$V:$V,$B68,'Points Lookup'!$Z:$Z),IF($B$2="R&amp;T Level 6 - Clinical Associate Professors and Clinical Readers (Vet School)",SUMIF('Points Lookup'!$AC:$AC,$B68,'Points Lookup'!$AG:$AG),"")))</f>
        <v/>
      </c>
      <c r="V68" s="84" t="str">
        <f t="shared" ca="1" si="6"/>
        <v/>
      </c>
    </row>
    <row r="69" spans="2:22" x14ac:dyDescent="0.25">
      <c r="B69" s="68" t="str">
        <f ca="1">IFERROR(INDEX('Points Lookup'!$A:$A,MATCH($AA71,'Points Lookup'!$AN:$AN,0)),"")</f>
        <v/>
      </c>
      <c r="C69" s="81" t="str">
        <f ca="1">IF(B69="","",SUMIF(INDIRECT("'Points Lookup'!"&amp;VLOOKUP($B$2,Grades!A:BU,72,FALSE)&amp;":"&amp;VLOOKUP($B$2,Grades!A:BU,72,FALSE)),B69,INDIRECT("'Points Lookup'!"&amp;VLOOKUP($B$2,Grades!A:BU,73,FALSE)&amp;":"&amp;VLOOKUP($B$2,Grades!A:BU,73,FALSE))))</f>
        <v/>
      </c>
      <c r="D69" s="81"/>
      <c r="E69" s="81"/>
      <c r="F69" s="81" t="str">
        <f ca="1">IF($B69="","",IF(SUMIF(Grades!$A:$A,$B$2,Grades!$BO:$BO)=0,"-",IF(AND(VLOOKUP($B$2,Grades!$A:$BV,74,FALSE)="YES",B69&lt;Thresholds_Rates!$C$16),"-",$C69*Thresholds_Rates!$F$15)))</f>
        <v/>
      </c>
      <c r="G69" s="81" t="str">
        <f ca="1">IF(B69="","",IF(OR($B$2="Salary Points 3 to 57",$B$2="Salary Points 3 to 57 (post-pay award)"),"-",IF(SUMIF(Grades!$A:$A,$B$2,Grades!$BP:$BP)=0,"-",$C69*Thresholds_Rates!$F$16)))</f>
        <v/>
      </c>
      <c r="H69" s="81" t="str">
        <f ca="1">IF(B69="","",IF($B$2="Apprenticeship","-",IF(SUMIF(Grades!$A:$A,$B$2,Grades!$BQ:$BQ)=0,"-",IF(AND(VLOOKUP($B$2,Grades!$A:$BW,75,FALSE)="YES",B69&gt;Thresholds_Rates!$C$17),"-",$C69*Thresholds_Rates!$F$17))))</f>
        <v/>
      </c>
      <c r="I69" s="81" t="str">
        <f ca="1">IF($B69="","",IF($C69=0,0,ROUND(($C69-(Thresholds_Rates!$C$5*12))*Thresholds_Rates!$C$10,0)))</f>
        <v/>
      </c>
      <c r="J69" s="81" t="str">
        <f ca="1">IF(B69="","",(C69*Thresholds_Rates!$C$12))</f>
        <v/>
      </c>
      <c r="K69" s="81" t="str">
        <f ca="1">IF(B69="","",IF(SUMIF(Grades!$A:$A,$B$2,Grades!$BR:$BR)=0,"-",IF(AND(VLOOKUP($B$2,Grades!$A:$BW,75,FALSE)="YES",B69&gt;Thresholds_Rates!$C$17),"-",$C69*Thresholds_Rates!$F$18)))</f>
        <v/>
      </c>
      <c r="L69" s="68"/>
      <c r="M69" s="81" t="str">
        <f t="shared" ca="1" si="1"/>
        <v/>
      </c>
      <c r="N69" s="81" t="str">
        <f t="shared" ca="1" si="2"/>
        <v/>
      </c>
      <c r="O69" s="81" t="str">
        <f t="shared" ca="1" si="3"/>
        <v/>
      </c>
      <c r="P69" s="81" t="str">
        <f t="shared" ca="1" si="4"/>
        <v/>
      </c>
      <c r="Q69" s="81" t="str">
        <f t="shared" ca="1" si="5"/>
        <v/>
      </c>
      <c r="S69" s="83" t="str">
        <f ca="1">IF(B69="","",IF($B$2="R&amp;T Level 5 - Clinical Lecturers (Vet School)",SUMIF('Points Lookup'!$V:$V,$B69,'Points Lookup'!$W:$W),IF($B$2="R&amp;T Level 6 - Clinical Associate Professors and Clinical Readers (Vet School)",SUMIF('Points Lookup'!$AC:$AC,$B69,'Points Lookup'!$AD:$AD),"")))</f>
        <v/>
      </c>
      <c r="T69" s="84" t="str">
        <f ca="1">IF(B69="","",IF($B$2="R&amp;T Level 5 - Clinical Lecturers (Vet School)",$C69-SUMIF('Points Lookup'!$V:$V,$B69,'Points Lookup'!$X:$X),IF($B$2="R&amp;T Level 6 - Clinical Associate Professors and Clinical Readers (Vet School)",$C69-SUMIF('Points Lookup'!$AC:$AC,$B69,'Points Lookup'!$AE:$AE),"")))</f>
        <v/>
      </c>
      <c r="U69" s="83" t="str">
        <f ca="1">IF(B69="","",IF($B$2="R&amp;T Level 5 - Clinical Lecturers (Vet School)",SUMIF('Points Lookup'!$V:$V,$B69,'Points Lookup'!$Z:$Z),IF($B$2="R&amp;T Level 6 - Clinical Associate Professors and Clinical Readers (Vet School)",SUMIF('Points Lookup'!$AC:$AC,$B69,'Points Lookup'!$AG:$AG),"")))</f>
        <v/>
      </c>
      <c r="V69" s="84" t="str">
        <f t="shared" ca="1" si="6"/>
        <v/>
      </c>
    </row>
    <row r="70" spans="2:22" x14ac:dyDescent="0.25">
      <c r="B70" s="68" t="str">
        <f ca="1">IFERROR(INDEX('Points Lookup'!$A:$A,MATCH($AA72,'Points Lookup'!$AN:$AN,0)),"")</f>
        <v/>
      </c>
      <c r="C70" s="81" t="str">
        <f ca="1">IF(B70="","",SUMIF(INDIRECT("'Points Lookup'!"&amp;VLOOKUP($B$2,Grades!A:BU,72,FALSE)&amp;":"&amp;VLOOKUP($B$2,Grades!A:BU,72,FALSE)),B70,INDIRECT("'Points Lookup'!"&amp;VLOOKUP($B$2,Grades!A:BU,73,FALSE)&amp;":"&amp;VLOOKUP($B$2,Grades!A:BU,73,FALSE))))</f>
        <v/>
      </c>
      <c r="D70" s="81"/>
      <c r="E70" s="81"/>
      <c r="F70" s="81" t="str">
        <f ca="1">IF($B70="","",IF(SUMIF(Grades!$A:$A,$B$2,Grades!$BO:$BO)=0,"-",IF(AND(VLOOKUP($B$2,Grades!$A:$BV,74,FALSE)="YES",B70&lt;Thresholds_Rates!$C$16),"-",$C70*Thresholds_Rates!$F$15)))</f>
        <v/>
      </c>
      <c r="G70" s="81" t="str">
        <f ca="1">IF(B70="","",IF(OR($B$2="Salary Points 3 to 57",$B$2="Salary Points 3 to 57 (post-pay award)"),"-",IF(SUMIF(Grades!$A:$A,$B$2,Grades!$BP:$BP)=0,"-",$C70*Thresholds_Rates!$F$16)))</f>
        <v/>
      </c>
      <c r="H70" s="81" t="str">
        <f ca="1">IF(B70="","",IF($B$2="Apprenticeship","-",IF(SUMIF(Grades!$A:$A,$B$2,Grades!$BQ:$BQ)=0,"-",IF(AND(VLOOKUP($B$2,Grades!$A:$BW,75,FALSE)="YES",B70&gt;Thresholds_Rates!$C$17),"-",$C70*Thresholds_Rates!$F$17))))</f>
        <v/>
      </c>
      <c r="I70" s="81" t="str">
        <f ca="1">IF($B70="","",IF($C70=0,0,ROUND(($C70-(Thresholds_Rates!$C$5*12))*Thresholds_Rates!$C$10,0)))</f>
        <v/>
      </c>
      <c r="J70" s="81" t="str">
        <f ca="1">IF(B70="","",(C70*Thresholds_Rates!$C$12))</f>
        <v/>
      </c>
      <c r="K70" s="81" t="str">
        <f ca="1">IF(B70="","",IF(SUMIF(Grades!$A:$A,$B$2,Grades!$BR:$BR)=0,"-",IF(AND(VLOOKUP($B$2,Grades!$A:$BW,75,FALSE)="YES",B70&gt;Thresholds_Rates!$C$17),"-",$C70*Thresholds_Rates!$F$18)))</f>
        <v/>
      </c>
      <c r="L70" s="68"/>
      <c r="M70" s="81" t="str">
        <f t="shared" ca="1" si="1"/>
        <v/>
      </c>
      <c r="N70" s="81" t="str">
        <f t="shared" ca="1" si="2"/>
        <v/>
      </c>
      <c r="O70" s="81" t="str">
        <f t="shared" ca="1" si="3"/>
        <v/>
      </c>
      <c r="P70" s="81" t="str">
        <f t="shared" ca="1" si="4"/>
        <v/>
      </c>
      <c r="Q70" s="81" t="str">
        <f t="shared" ca="1" si="5"/>
        <v/>
      </c>
      <c r="S70" s="83" t="str">
        <f ca="1">IF(B70="","",IF($B$2="R&amp;T Level 5 - Clinical Lecturers (Vet School)",SUMIF('Points Lookup'!$V:$V,$B70,'Points Lookup'!$W:$W),IF($B$2="R&amp;T Level 6 - Clinical Associate Professors and Clinical Readers (Vet School)",SUMIF('Points Lookup'!$AC:$AC,$B70,'Points Lookup'!$AD:$AD),"")))</f>
        <v/>
      </c>
      <c r="T70" s="84" t="str">
        <f ca="1">IF(B70="","",IF($B$2="R&amp;T Level 5 - Clinical Lecturers (Vet School)",$C70-SUMIF('Points Lookup'!$V:$V,$B70,'Points Lookup'!$X:$X),IF($B$2="R&amp;T Level 6 - Clinical Associate Professors and Clinical Readers (Vet School)",$C70-SUMIF('Points Lookup'!$AC:$AC,$B70,'Points Lookup'!$AE:$AE),"")))</f>
        <v/>
      </c>
      <c r="U70" s="83" t="str">
        <f ca="1">IF(B70="","",IF($B$2="R&amp;T Level 5 - Clinical Lecturers (Vet School)",SUMIF('Points Lookup'!$V:$V,$B70,'Points Lookup'!$Z:$Z),IF($B$2="R&amp;T Level 6 - Clinical Associate Professors and Clinical Readers (Vet School)",SUMIF('Points Lookup'!$AC:$AC,$B70,'Points Lookup'!$AG:$AG),"")))</f>
        <v/>
      </c>
      <c r="V70" s="84" t="str">
        <f t="shared" ca="1" si="6"/>
        <v/>
      </c>
    </row>
    <row r="71" spans="2:22" x14ac:dyDescent="0.25">
      <c r="B71" s="68" t="str">
        <f ca="1">IFERROR(INDEX('Points Lookup'!$A:$A,MATCH($AA73,'Points Lookup'!$AN:$AN,0)),"")</f>
        <v/>
      </c>
      <c r="C71" s="81" t="str">
        <f ca="1">IF(B71="","",SUMIF(INDIRECT("'Points Lookup'!"&amp;VLOOKUP($B$2,Grades!A:BU,72,FALSE)&amp;":"&amp;VLOOKUP($B$2,Grades!A:BU,72,FALSE)),B71,INDIRECT("'Points Lookup'!"&amp;VLOOKUP($B$2,Grades!A:BU,73,FALSE)&amp;":"&amp;VLOOKUP($B$2,Grades!A:BU,73,FALSE))))</f>
        <v/>
      </c>
      <c r="D71" s="81"/>
      <c r="E71" s="81"/>
      <c r="F71" s="81" t="str">
        <f ca="1">IF($B71="","",IF(SUMIF(Grades!$A:$A,$B$2,Grades!$BO:$BO)=0,"-",IF(AND(VLOOKUP($B$2,Grades!$A:$BV,74,FALSE)="YES",B71&lt;Thresholds_Rates!$C$16),"-",$C71*Thresholds_Rates!$F$15)))</f>
        <v/>
      </c>
      <c r="G71" s="81" t="str">
        <f ca="1">IF(B71="","",IF(OR($B$2="Salary Points 3 to 57",$B$2="Salary Points 3 to 57 (post-pay award)"),"-",IF(SUMIF(Grades!$A:$A,$B$2,Grades!$BP:$BP)=0,"-",$C71*Thresholds_Rates!$F$16)))</f>
        <v/>
      </c>
      <c r="H71" s="81" t="str">
        <f ca="1">IF(B71="","",IF($B$2="Apprenticeship","-",IF(SUMIF(Grades!$A:$A,$B$2,Grades!$BQ:$BQ)=0,"-",IF(AND(VLOOKUP($B$2,Grades!$A:$BW,75,FALSE)="YES",B71&gt;Thresholds_Rates!$C$17),"-",$C71*Thresholds_Rates!$F$17))))</f>
        <v/>
      </c>
      <c r="I71" s="81" t="str">
        <f ca="1">IF($B71="","",IF($C71=0,0,ROUND(($C71-(Thresholds_Rates!$C$5*12))*Thresholds_Rates!$C$10,0)))</f>
        <v/>
      </c>
      <c r="J71" s="81" t="str">
        <f ca="1">IF(B71="","",(C71*Thresholds_Rates!$C$12))</f>
        <v/>
      </c>
      <c r="K71" s="81" t="str">
        <f ca="1">IF(B71="","",IF(SUMIF(Grades!$A:$A,$B$2,Grades!$BR:$BR)=0,"-",IF(AND(VLOOKUP($B$2,Grades!$A:$BW,75,FALSE)="YES",B71&gt;Thresholds_Rates!$C$17),"-",$C71*Thresholds_Rates!$F$18)))</f>
        <v/>
      </c>
      <c r="L71" s="68"/>
      <c r="M71" s="81" t="str">
        <f t="shared" ca="1" si="1"/>
        <v/>
      </c>
      <c r="N71" s="81" t="str">
        <f t="shared" ca="1" si="2"/>
        <v/>
      </c>
      <c r="O71" s="81" t="str">
        <f t="shared" ca="1" si="3"/>
        <v/>
      </c>
      <c r="P71" s="81" t="str">
        <f t="shared" ca="1" si="4"/>
        <v/>
      </c>
      <c r="Q71" s="81" t="str">
        <f t="shared" ca="1" si="5"/>
        <v/>
      </c>
      <c r="S71" s="83" t="str">
        <f ca="1">IF(B71="","",IF($B$2="R&amp;T Level 5 - Clinical Lecturers (Vet School)",SUMIF('Points Lookup'!$V:$V,$B71,'Points Lookup'!$W:$W),IF($B$2="R&amp;T Level 6 - Clinical Associate Professors and Clinical Readers (Vet School)",SUMIF('Points Lookup'!$AC:$AC,$B71,'Points Lookup'!$AD:$AD),"")))</f>
        <v/>
      </c>
      <c r="T71" s="84" t="str">
        <f ca="1">IF(B71="","",IF($B$2="R&amp;T Level 5 - Clinical Lecturers (Vet School)",$C71-SUMIF('Points Lookup'!$V:$V,$B71,'Points Lookup'!$X:$X),IF($B$2="R&amp;T Level 6 - Clinical Associate Professors and Clinical Readers (Vet School)",$C71-SUMIF('Points Lookup'!$AC:$AC,$B71,'Points Lookup'!$AE:$AE),"")))</f>
        <v/>
      </c>
      <c r="U71" s="83" t="str">
        <f ca="1">IF(B71="","",IF($B$2="R&amp;T Level 5 - Clinical Lecturers (Vet School)",SUMIF('Points Lookup'!$V:$V,$B71,'Points Lookup'!$Z:$Z),IF($B$2="R&amp;T Level 6 - Clinical Associate Professors and Clinical Readers (Vet School)",SUMIF('Points Lookup'!$AC:$AC,$B71,'Points Lookup'!$AG:$AG),"")))</f>
        <v/>
      </c>
      <c r="V71" s="84" t="str">
        <f t="shared" ref="V71:V101" ca="1" si="7">IF(B71="","",IF($B$2="R&amp;T Level 5 - Clinical Lecturers (Vet School)",ROUND(C71*U71,0),IF($B$2="R&amp;T Level 6 - Clinical Associate Professors and Clinical Readers (Vet School)",ROUND(C71*U71,0),"")))</f>
        <v/>
      </c>
    </row>
    <row r="72" spans="2:22" x14ac:dyDescent="0.25">
      <c r="B72" s="68" t="str">
        <f ca="1">IFERROR(INDEX('Points Lookup'!$A:$A,MATCH($AA74,'Points Lookup'!$AN:$AN,0)),"")</f>
        <v/>
      </c>
      <c r="C72" s="81" t="str">
        <f ca="1">IF(B72="","",SUMIF(INDIRECT("'Points Lookup'!"&amp;VLOOKUP($B$2,Grades!A:BU,72,FALSE)&amp;":"&amp;VLOOKUP($B$2,Grades!A:BU,72,FALSE)),B72,INDIRECT("'Points Lookup'!"&amp;VLOOKUP($B$2,Grades!A:BU,73,FALSE)&amp;":"&amp;VLOOKUP($B$2,Grades!A:BU,73,FALSE))))</f>
        <v/>
      </c>
      <c r="D72" s="81"/>
      <c r="E72" s="81"/>
      <c r="F72" s="81" t="str">
        <f ca="1">IF($B72="","",IF(SUMIF(Grades!$A:$A,$B$2,Grades!$BO:$BO)=0,"-",IF(AND(VLOOKUP($B$2,Grades!$A:$BV,74,FALSE)="YES",B72&lt;Thresholds_Rates!$C$16),"-",$C72*Thresholds_Rates!$F$15)))</f>
        <v/>
      </c>
      <c r="G72" s="81" t="str">
        <f ca="1">IF(B72="","",IF(OR($B$2="Salary Points 3 to 57",$B$2="Salary Points 3 to 57 (post-pay award)"),"-",IF(SUMIF(Grades!$A:$A,$B$2,Grades!$BP:$BP)=0,"-",$C72*Thresholds_Rates!$F$16)))</f>
        <v/>
      </c>
      <c r="H72" s="81" t="str">
        <f ca="1">IF(B72="","",IF($B$2="Apprenticeship","-",IF(SUMIF(Grades!$A:$A,$B$2,Grades!$BQ:$BQ)=0,"-",IF(AND(VLOOKUP($B$2,Grades!$A:$BW,75,FALSE)="YES",B72&gt;Thresholds_Rates!$C$17),"-",$C72*Thresholds_Rates!$F$17))))</f>
        <v/>
      </c>
      <c r="I72" s="81" t="str">
        <f ca="1">IF($B72="","",IF($C72=0,0,ROUND(($C72-(Thresholds_Rates!$C$5*12))*Thresholds_Rates!$C$10,0)))</f>
        <v/>
      </c>
      <c r="J72" s="81" t="str">
        <f ca="1">IF(B72="","",(C72*Thresholds_Rates!$C$12))</f>
        <v/>
      </c>
      <c r="K72" s="81" t="str">
        <f ca="1">IF(B72="","",IF(SUMIF(Grades!$A:$A,$B$2,Grades!$BR:$BR)=0,"-",IF(AND(VLOOKUP($B$2,Grades!$A:$BW,75,FALSE)="YES",B72&gt;Thresholds_Rates!$C$17),"-",$C72*Thresholds_Rates!$F$18)))</f>
        <v/>
      </c>
      <c r="L72" s="68"/>
      <c r="M72" s="81" t="str">
        <f t="shared" ref="M72:M135" ca="1" si="8">IF(B72="","",IF(F72="-","-",$C72+$I72+F72+J72))</f>
        <v/>
      </c>
      <c r="N72" s="81" t="str">
        <f t="shared" ref="N72:N135" ca="1" si="9">IF(B72="","",IF(G72="-","-",$C72+$I72+G72+J72))</f>
        <v/>
      </c>
      <c r="O72" s="81" t="str">
        <f t="shared" ref="O72:O135" ca="1" si="10">IF(B72="","",IF(H72="-","-",$C72+$I72+H72+J72))</f>
        <v/>
      </c>
      <c r="P72" s="81" t="str">
        <f t="shared" ref="P72:P135" ca="1" si="11">IF(B72="","",IF(K72="-","-",$C72+$I72+K72+J72))</f>
        <v/>
      </c>
      <c r="Q72" s="81" t="str">
        <f t="shared" ref="Q72:Q135" ca="1" si="12">IF(B72="","",C72+I72+J72)</f>
        <v/>
      </c>
      <c r="S72" s="83" t="str">
        <f ca="1">IF(B72="","",IF($B$2="R&amp;T Level 5 - Clinical Lecturers (Vet School)",SUMIF('Points Lookup'!$V:$V,$B72,'Points Lookup'!$W:$W),IF($B$2="R&amp;T Level 6 - Clinical Associate Professors and Clinical Readers (Vet School)",SUMIF('Points Lookup'!$AC:$AC,$B72,'Points Lookup'!$AD:$AD),"")))</f>
        <v/>
      </c>
      <c r="T72" s="84" t="str">
        <f ca="1">IF(B72="","",IF($B$2="R&amp;T Level 5 - Clinical Lecturers (Vet School)",$C72-SUMIF('Points Lookup'!$V:$V,$B72,'Points Lookup'!$X:$X),IF($B$2="R&amp;T Level 6 - Clinical Associate Professors and Clinical Readers (Vet School)",$C72-SUMIF('Points Lookup'!$AC:$AC,$B72,'Points Lookup'!$AE:$AE),"")))</f>
        <v/>
      </c>
      <c r="U72" s="83" t="str">
        <f ca="1">IF(B72="","",IF($B$2="R&amp;T Level 5 - Clinical Lecturers (Vet School)",SUMIF('Points Lookup'!$V:$V,$B72,'Points Lookup'!$Z:$Z),IF($B$2="R&amp;T Level 6 - Clinical Associate Professors and Clinical Readers (Vet School)",SUMIF('Points Lookup'!$AC:$AC,$B72,'Points Lookup'!$AG:$AG),"")))</f>
        <v/>
      </c>
      <c r="V72" s="84" t="str">
        <f t="shared" ca="1" si="7"/>
        <v/>
      </c>
    </row>
    <row r="73" spans="2:22" x14ac:dyDescent="0.25">
      <c r="B73" s="68" t="str">
        <f ca="1">IFERROR(INDEX('Points Lookup'!$A:$A,MATCH($AA75,'Points Lookup'!$AN:$AN,0)),"")</f>
        <v/>
      </c>
      <c r="C73" s="81" t="str">
        <f ca="1">IF(B73="","",SUMIF(INDIRECT("'Points Lookup'!"&amp;VLOOKUP($B$2,Grades!A:BU,72,FALSE)&amp;":"&amp;VLOOKUP($B$2,Grades!A:BU,72,FALSE)),B73,INDIRECT("'Points Lookup'!"&amp;VLOOKUP($B$2,Grades!A:BU,73,FALSE)&amp;":"&amp;VLOOKUP($B$2,Grades!A:BU,73,FALSE))))</f>
        <v/>
      </c>
      <c r="D73" s="81"/>
      <c r="E73" s="81"/>
      <c r="F73" s="81" t="str">
        <f ca="1">IF($B73="","",IF(SUMIF(Grades!$A:$A,$B$2,Grades!$BO:$BO)=0,"-",IF(AND(VLOOKUP($B$2,Grades!$A:$BV,74,FALSE)="YES",B73&lt;Thresholds_Rates!$C$16),"-",$C73*Thresholds_Rates!$F$15)))</f>
        <v/>
      </c>
      <c r="G73" s="81" t="str">
        <f ca="1">IF(B73="","",IF(OR($B$2="Salary Points 3 to 57",$B$2="Salary Points 3 to 57 (post-pay award)"),"-",IF(SUMIF(Grades!$A:$A,$B$2,Grades!$BP:$BP)=0,"-",$C73*Thresholds_Rates!$F$16)))</f>
        <v/>
      </c>
      <c r="H73" s="81" t="str">
        <f ca="1">IF(B73="","",IF($B$2="Apprenticeship","-",IF(SUMIF(Grades!$A:$A,$B$2,Grades!$BQ:$BQ)=0,"-",IF(AND(VLOOKUP($B$2,Grades!$A:$BW,75,FALSE)="YES",B73&gt;Thresholds_Rates!$C$17),"-",$C73*Thresholds_Rates!$F$17))))</f>
        <v/>
      </c>
      <c r="I73" s="81" t="str">
        <f ca="1">IF($B73="","",IF($C73=0,0,ROUND(($C73-(Thresholds_Rates!$C$5*12))*Thresholds_Rates!$C$10,0)))</f>
        <v/>
      </c>
      <c r="J73" s="81" t="str">
        <f ca="1">IF(B73="","",(C73*Thresholds_Rates!$C$12))</f>
        <v/>
      </c>
      <c r="K73" s="81" t="str">
        <f ca="1">IF(B73="","",IF(SUMIF(Grades!$A:$A,$B$2,Grades!$BR:$BR)=0,"-",IF(AND(VLOOKUP($B$2,Grades!$A:$BW,75,FALSE)="YES",B73&gt;Thresholds_Rates!$C$17),"-",$C73*Thresholds_Rates!$F$18)))</f>
        <v/>
      </c>
      <c r="L73" s="68"/>
      <c r="M73" s="81" t="str">
        <f t="shared" ca="1" si="8"/>
        <v/>
      </c>
      <c r="N73" s="81" t="str">
        <f t="shared" ca="1" si="9"/>
        <v/>
      </c>
      <c r="O73" s="81" t="str">
        <f t="shared" ca="1" si="10"/>
        <v/>
      </c>
      <c r="P73" s="81" t="str">
        <f t="shared" ca="1" si="11"/>
        <v/>
      </c>
      <c r="Q73" s="81" t="str">
        <f t="shared" ca="1" si="12"/>
        <v/>
      </c>
      <c r="S73" s="83" t="str">
        <f ca="1">IF(B73="","",IF($B$2="R&amp;T Level 5 - Clinical Lecturers (Vet School)",SUMIF('Points Lookup'!$V:$V,$B73,'Points Lookup'!$W:$W),IF($B$2="R&amp;T Level 6 - Clinical Associate Professors and Clinical Readers (Vet School)",SUMIF('Points Lookup'!$AC:$AC,$B73,'Points Lookup'!$AD:$AD),"")))</f>
        <v/>
      </c>
      <c r="T73" s="84" t="str">
        <f ca="1">IF(B73="","",IF($B$2="R&amp;T Level 5 - Clinical Lecturers (Vet School)",$C73-SUMIF('Points Lookup'!$V:$V,$B73,'Points Lookup'!$X:$X),IF($B$2="R&amp;T Level 6 - Clinical Associate Professors and Clinical Readers (Vet School)",$C73-SUMIF('Points Lookup'!$AC:$AC,$B73,'Points Lookup'!$AE:$AE),"")))</f>
        <v/>
      </c>
      <c r="U73" s="83" t="str">
        <f ca="1">IF(B73="","",IF($B$2="R&amp;T Level 5 - Clinical Lecturers (Vet School)",SUMIF('Points Lookup'!$V:$V,$B73,'Points Lookup'!$Z:$Z),IF($B$2="R&amp;T Level 6 - Clinical Associate Professors and Clinical Readers (Vet School)",SUMIF('Points Lookup'!$AC:$AC,$B73,'Points Lookup'!$AG:$AG),"")))</f>
        <v/>
      </c>
      <c r="V73" s="84" t="str">
        <f t="shared" ca="1" si="7"/>
        <v/>
      </c>
    </row>
    <row r="74" spans="2:22" x14ac:dyDescent="0.25">
      <c r="B74" s="68" t="str">
        <f ca="1">IFERROR(INDEX('Points Lookup'!$A:$A,MATCH($AA76,'Points Lookup'!$AN:$AN,0)),"")</f>
        <v/>
      </c>
      <c r="C74" s="81" t="str">
        <f ca="1">IF(B74="","",SUMIF(INDIRECT("'Points Lookup'!"&amp;VLOOKUP($B$2,Grades!A:BU,72,FALSE)&amp;":"&amp;VLOOKUP($B$2,Grades!A:BU,72,FALSE)),B74,INDIRECT("'Points Lookup'!"&amp;VLOOKUP($B$2,Grades!A:BU,73,FALSE)&amp;":"&amp;VLOOKUP($B$2,Grades!A:BU,73,FALSE))))</f>
        <v/>
      </c>
      <c r="D74" s="81"/>
      <c r="E74" s="81"/>
      <c r="F74" s="81" t="str">
        <f ca="1">IF($B74="","",IF(SUMIF(Grades!$A:$A,$B$2,Grades!$BO:$BO)=0,"-",IF(AND(VLOOKUP($B$2,Grades!$A:$BV,74,FALSE)="YES",B74&lt;Thresholds_Rates!$C$16),"-",$C74*Thresholds_Rates!$F$15)))</f>
        <v/>
      </c>
      <c r="G74" s="81" t="str">
        <f ca="1">IF(B74="","",IF(OR($B$2="Salary Points 3 to 57",$B$2="Salary Points 3 to 57 (post-pay award)"),"-",IF(SUMIF(Grades!$A:$A,$B$2,Grades!$BP:$BP)=0,"-",$C74*Thresholds_Rates!$F$16)))</f>
        <v/>
      </c>
      <c r="H74" s="81" t="str">
        <f ca="1">IF(B74="","",IF($B$2="Apprenticeship","-",IF(SUMIF(Grades!$A:$A,$B$2,Grades!$BQ:$BQ)=0,"-",IF(AND(VLOOKUP($B$2,Grades!$A:$BW,75,FALSE)="YES",B74&gt;Thresholds_Rates!$C$17),"-",$C74*Thresholds_Rates!$F$17))))</f>
        <v/>
      </c>
      <c r="I74" s="81" t="str">
        <f ca="1">IF($B74="","",IF($C74=0,0,ROUND(($C74-(Thresholds_Rates!$C$5*12))*Thresholds_Rates!$C$10,0)))</f>
        <v/>
      </c>
      <c r="J74" s="81" t="str">
        <f ca="1">IF(B74="","",(C74*Thresholds_Rates!$C$12))</f>
        <v/>
      </c>
      <c r="K74" s="81" t="str">
        <f ca="1">IF(B74="","",IF(SUMIF(Grades!$A:$A,$B$2,Grades!$BR:$BR)=0,"-",IF(AND(VLOOKUP($B$2,Grades!$A:$BW,75,FALSE)="YES",B74&gt;Thresholds_Rates!$C$17),"-",$C74*Thresholds_Rates!$F$18)))</f>
        <v/>
      </c>
      <c r="L74" s="68"/>
      <c r="M74" s="81" t="str">
        <f t="shared" ca="1" si="8"/>
        <v/>
      </c>
      <c r="N74" s="81" t="str">
        <f t="shared" ca="1" si="9"/>
        <v/>
      </c>
      <c r="O74" s="81" t="str">
        <f t="shared" ca="1" si="10"/>
        <v/>
      </c>
      <c r="P74" s="81" t="str">
        <f t="shared" ca="1" si="11"/>
        <v/>
      </c>
      <c r="Q74" s="81" t="str">
        <f t="shared" ca="1" si="12"/>
        <v/>
      </c>
      <c r="S74" s="83" t="str">
        <f ca="1">IF(B74="","",IF($B$2="R&amp;T Level 5 - Clinical Lecturers (Vet School)",SUMIF('Points Lookup'!$V:$V,$B74,'Points Lookup'!$W:$W),IF($B$2="R&amp;T Level 6 - Clinical Associate Professors and Clinical Readers (Vet School)",SUMIF('Points Lookup'!$AC:$AC,$B74,'Points Lookup'!$AD:$AD),"")))</f>
        <v/>
      </c>
      <c r="T74" s="84" t="str">
        <f ca="1">IF(B74="","",IF($B$2="R&amp;T Level 5 - Clinical Lecturers (Vet School)",$C74-SUMIF('Points Lookup'!$V:$V,$B74,'Points Lookup'!$X:$X),IF($B$2="R&amp;T Level 6 - Clinical Associate Professors and Clinical Readers (Vet School)",$C74-SUMIF('Points Lookup'!$AC:$AC,$B74,'Points Lookup'!$AE:$AE),"")))</f>
        <v/>
      </c>
      <c r="U74" s="83" t="str">
        <f ca="1">IF(B74="","",IF($B$2="R&amp;T Level 5 - Clinical Lecturers (Vet School)",SUMIF('Points Lookup'!$V:$V,$B74,'Points Lookup'!$Z:$Z),IF($B$2="R&amp;T Level 6 - Clinical Associate Professors and Clinical Readers (Vet School)",SUMIF('Points Lookup'!$AC:$AC,$B74,'Points Lookup'!$AG:$AG),"")))</f>
        <v/>
      </c>
      <c r="V74" s="84" t="str">
        <f t="shared" ca="1" si="7"/>
        <v/>
      </c>
    </row>
    <row r="75" spans="2:22" x14ac:dyDescent="0.25">
      <c r="B75" s="68" t="str">
        <f ca="1">IFERROR(INDEX('Points Lookup'!$A:$A,MATCH($AA77,'Points Lookup'!$AN:$AN,0)),"")</f>
        <v/>
      </c>
      <c r="C75" s="81" t="str">
        <f ca="1">IF(B75="","",SUMIF(INDIRECT("'Points Lookup'!"&amp;VLOOKUP($B$2,Grades!A:BU,72,FALSE)&amp;":"&amp;VLOOKUP($B$2,Grades!A:BU,72,FALSE)),B75,INDIRECT("'Points Lookup'!"&amp;VLOOKUP($B$2,Grades!A:BU,73,FALSE)&amp;":"&amp;VLOOKUP($B$2,Grades!A:BU,73,FALSE))))</f>
        <v/>
      </c>
      <c r="D75" s="81"/>
      <c r="E75" s="81"/>
      <c r="F75" s="81" t="str">
        <f ca="1">IF($B75="","",IF(SUMIF(Grades!$A:$A,$B$2,Grades!$BO:$BO)=0,"-",IF(AND(VLOOKUP($B$2,Grades!$A:$BV,74,FALSE)="YES",B75&lt;Thresholds_Rates!$C$16),"-",$C75*Thresholds_Rates!$F$15)))</f>
        <v/>
      </c>
      <c r="G75" s="81" t="str">
        <f ca="1">IF(B75="","",IF(OR($B$2="Salary Points 3 to 57",$B$2="Salary Points 3 to 57 (post-pay award)"),"-",IF(SUMIF(Grades!$A:$A,$B$2,Grades!$BP:$BP)=0,"-",$C75*Thresholds_Rates!$F$16)))</f>
        <v/>
      </c>
      <c r="H75" s="81" t="str">
        <f ca="1">IF(B75="","",IF($B$2="Apprenticeship","-",IF(SUMIF(Grades!$A:$A,$B$2,Grades!$BQ:$BQ)=0,"-",IF(AND(VLOOKUP($B$2,Grades!$A:$BW,75,FALSE)="YES",B75&gt;Thresholds_Rates!$C$17),"-",$C75*Thresholds_Rates!$F$17))))</f>
        <v/>
      </c>
      <c r="I75" s="81" t="str">
        <f ca="1">IF($B75="","",IF($C75=0,0,ROUND(($C75-(Thresholds_Rates!$C$5*12))*Thresholds_Rates!$C$10,0)))</f>
        <v/>
      </c>
      <c r="J75" s="81" t="str">
        <f ca="1">IF(B75="","",(C75*Thresholds_Rates!$C$12))</f>
        <v/>
      </c>
      <c r="K75" s="81" t="str">
        <f ca="1">IF(B75="","",IF(SUMIF(Grades!$A:$A,$B$2,Grades!$BR:$BR)=0,"-",IF(AND(VLOOKUP($B$2,Grades!$A:$BW,75,FALSE)="YES",B75&gt;Thresholds_Rates!$C$17),"-",$C75*Thresholds_Rates!$F$18)))</f>
        <v/>
      </c>
      <c r="L75" s="68"/>
      <c r="M75" s="81" t="str">
        <f t="shared" ca="1" si="8"/>
        <v/>
      </c>
      <c r="N75" s="81" t="str">
        <f t="shared" ca="1" si="9"/>
        <v/>
      </c>
      <c r="O75" s="81" t="str">
        <f t="shared" ca="1" si="10"/>
        <v/>
      </c>
      <c r="P75" s="81" t="str">
        <f t="shared" ca="1" si="11"/>
        <v/>
      </c>
      <c r="Q75" s="81" t="str">
        <f t="shared" ca="1" si="12"/>
        <v/>
      </c>
      <c r="S75" s="83" t="str">
        <f ca="1">IF(B75="","",IF($B$2="R&amp;T Level 5 - Clinical Lecturers (Vet School)",SUMIF('Points Lookup'!$V:$V,$B75,'Points Lookup'!$W:$W),IF($B$2="R&amp;T Level 6 - Clinical Associate Professors and Clinical Readers (Vet School)",SUMIF('Points Lookup'!$AC:$AC,$B75,'Points Lookup'!$AD:$AD),"")))</f>
        <v/>
      </c>
      <c r="T75" s="84" t="str">
        <f ca="1">IF(B75="","",IF($B$2="R&amp;T Level 5 - Clinical Lecturers (Vet School)",$C75-SUMIF('Points Lookup'!$V:$V,$B75,'Points Lookup'!$X:$X),IF($B$2="R&amp;T Level 6 - Clinical Associate Professors and Clinical Readers (Vet School)",$C75-SUMIF('Points Lookup'!$AC:$AC,$B75,'Points Lookup'!$AE:$AE),"")))</f>
        <v/>
      </c>
      <c r="U75" s="83" t="str">
        <f ca="1">IF(B75="","",IF($B$2="R&amp;T Level 5 - Clinical Lecturers (Vet School)",SUMIF('Points Lookup'!$V:$V,$B75,'Points Lookup'!$Z:$Z),IF($B$2="R&amp;T Level 6 - Clinical Associate Professors and Clinical Readers (Vet School)",SUMIF('Points Lookup'!$AC:$AC,$B75,'Points Lookup'!$AG:$AG),"")))</f>
        <v/>
      </c>
      <c r="V75" s="84" t="str">
        <f t="shared" ca="1" si="7"/>
        <v/>
      </c>
    </row>
    <row r="76" spans="2:22" x14ac:dyDescent="0.25">
      <c r="B76" s="68" t="str">
        <f ca="1">IFERROR(INDEX('Points Lookup'!$A:$A,MATCH($AA78,'Points Lookup'!$AN:$AN,0)),"")</f>
        <v/>
      </c>
      <c r="C76" s="81" t="str">
        <f ca="1">IF(B76="","",SUMIF(INDIRECT("'Points Lookup'!"&amp;VLOOKUP($B$2,Grades!A:BU,72,FALSE)&amp;":"&amp;VLOOKUP($B$2,Grades!A:BU,72,FALSE)),B76,INDIRECT("'Points Lookup'!"&amp;VLOOKUP($B$2,Grades!A:BU,73,FALSE)&amp;":"&amp;VLOOKUP($B$2,Grades!A:BU,73,FALSE))))</f>
        <v/>
      </c>
      <c r="D76" s="81"/>
      <c r="E76" s="81"/>
      <c r="F76" s="81" t="str">
        <f ca="1">IF($B76="","",IF(SUMIF(Grades!$A:$A,$B$2,Grades!$BO:$BO)=0,"-",IF(AND(VLOOKUP($B$2,Grades!$A:$BV,74,FALSE)="YES",B76&lt;Thresholds_Rates!$C$16),"-",$C76*Thresholds_Rates!$F$15)))</f>
        <v/>
      </c>
      <c r="G76" s="81" t="str">
        <f ca="1">IF(B76="","",IF(OR($B$2="Salary Points 3 to 57",$B$2="Salary Points 3 to 57 (post-pay award)"),"-",IF(SUMIF(Grades!$A:$A,$B$2,Grades!$BP:$BP)=0,"-",$C76*Thresholds_Rates!$F$16)))</f>
        <v/>
      </c>
      <c r="H76" s="81" t="str">
        <f ca="1">IF(B76="","",IF($B$2="Apprenticeship","-",IF(SUMIF(Grades!$A:$A,$B$2,Grades!$BQ:$BQ)=0,"-",IF(AND(VLOOKUP($B$2,Grades!$A:$BW,75,FALSE)="YES",B76&gt;Thresholds_Rates!$C$17),"-",$C76*Thresholds_Rates!$F$17))))</f>
        <v/>
      </c>
      <c r="I76" s="81" t="str">
        <f ca="1">IF($B76="","",IF($C76=0,0,ROUND(($C76-(Thresholds_Rates!$C$5*12))*Thresholds_Rates!$C$10,0)))</f>
        <v/>
      </c>
      <c r="J76" s="81" t="str">
        <f ca="1">IF(B76="","",(C76*Thresholds_Rates!$C$12))</f>
        <v/>
      </c>
      <c r="K76" s="81" t="str">
        <f ca="1">IF(B76="","",IF(SUMIF(Grades!$A:$A,$B$2,Grades!$BR:$BR)=0,"-",IF(AND(VLOOKUP($B$2,Grades!$A:$BW,75,FALSE)="YES",B76&gt;Thresholds_Rates!$C$17),"-",$C76*Thresholds_Rates!$F$18)))</f>
        <v/>
      </c>
      <c r="L76" s="68"/>
      <c r="M76" s="81" t="str">
        <f t="shared" ca="1" si="8"/>
        <v/>
      </c>
      <c r="N76" s="81" t="str">
        <f t="shared" ca="1" si="9"/>
        <v/>
      </c>
      <c r="O76" s="81" t="str">
        <f t="shared" ca="1" si="10"/>
        <v/>
      </c>
      <c r="P76" s="81" t="str">
        <f t="shared" ca="1" si="11"/>
        <v/>
      </c>
      <c r="Q76" s="81" t="str">
        <f t="shared" ca="1" si="12"/>
        <v/>
      </c>
      <c r="S76" s="83" t="str">
        <f ca="1">IF(B76="","",IF($B$2="R&amp;T Level 5 - Clinical Lecturers (Vet School)",SUMIF('Points Lookup'!$V:$V,$B76,'Points Lookup'!$W:$W),IF($B$2="R&amp;T Level 6 - Clinical Associate Professors and Clinical Readers (Vet School)",SUMIF('Points Lookup'!$AC:$AC,$B76,'Points Lookup'!$AD:$AD),"")))</f>
        <v/>
      </c>
      <c r="T76" s="84" t="str">
        <f ca="1">IF(B76="","",IF($B$2="R&amp;T Level 5 - Clinical Lecturers (Vet School)",$C76-SUMIF('Points Lookup'!$V:$V,$B76,'Points Lookup'!$X:$X),IF($B$2="R&amp;T Level 6 - Clinical Associate Professors and Clinical Readers (Vet School)",$C76-SUMIF('Points Lookup'!$AC:$AC,$B76,'Points Lookup'!$AE:$AE),"")))</f>
        <v/>
      </c>
      <c r="U76" s="83" t="str">
        <f ca="1">IF(B76="","",IF($B$2="R&amp;T Level 5 - Clinical Lecturers (Vet School)",SUMIF('Points Lookup'!$V:$V,$B76,'Points Lookup'!$Z:$Z),IF($B$2="R&amp;T Level 6 - Clinical Associate Professors and Clinical Readers (Vet School)",SUMIF('Points Lookup'!$AC:$AC,$B76,'Points Lookup'!$AG:$AG),"")))</f>
        <v/>
      </c>
      <c r="V76" s="84" t="str">
        <f t="shared" ca="1" si="7"/>
        <v/>
      </c>
    </row>
    <row r="77" spans="2:22" x14ac:dyDescent="0.25">
      <c r="B77" s="68" t="str">
        <f ca="1">IFERROR(INDEX('Points Lookup'!$A:$A,MATCH($AA79,'Points Lookup'!$AN:$AN,0)),"")</f>
        <v/>
      </c>
      <c r="C77" s="81" t="str">
        <f ca="1">IF(B77="","",SUMIF(INDIRECT("'Points Lookup'!"&amp;VLOOKUP($B$2,Grades!A:BU,72,FALSE)&amp;":"&amp;VLOOKUP($B$2,Grades!A:BU,72,FALSE)),B77,INDIRECT("'Points Lookup'!"&amp;VLOOKUP($B$2,Grades!A:BU,73,FALSE)&amp;":"&amp;VLOOKUP($B$2,Grades!A:BU,73,FALSE))))</f>
        <v/>
      </c>
      <c r="D77" s="81"/>
      <c r="E77" s="81"/>
      <c r="F77" s="81" t="str">
        <f ca="1">IF($B77="","",IF(SUMIF(Grades!$A:$A,$B$2,Grades!$BO:$BO)=0,"-",IF(AND(VLOOKUP($B$2,Grades!$A:$BV,74,FALSE)="YES",B77&lt;Thresholds_Rates!$C$16),"-",$C77*Thresholds_Rates!$F$15)))</f>
        <v/>
      </c>
      <c r="G77" s="81" t="str">
        <f ca="1">IF(B77="","",IF(OR($B$2="Salary Points 3 to 57",$B$2="Salary Points 3 to 57 (post-pay award)"),"-",IF(SUMIF(Grades!$A:$A,$B$2,Grades!$BP:$BP)=0,"-",$C77*Thresholds_Rates!$F$16)))</f>
        <v/>
      </c>
      <c r="H77" s="81" t="str">
        <f ca="1">IF(B77="","",IF($B$2="Apprenticeship","-",IF(SUMIF(Grades!$A:$A,$B$2,Grades!$BQ:$BQ)=0,"-",IF(AND(VLOOKUP($B$2,Grades!$A:$BW,75,FALSE)="YES",B77&gt;Thresholds_Rates!$C$17),"-",$C77*Thresholds_Rates!$F$17))))</f>
        <v/>
      </c>
      <c r="I77" s="81" t="str">
        <f ca="1">IF($B77="","",IF($C77=0,0,ROUND(($C77-(Thresholds_Rates!$C$5*12))*Thresholds_Rates!$C$10,0)))</f>
        <v/>
      </c>
      <c r="J77" s="81" t="str">
        <f ca="1">IF(B77="","",(C77*Thresholds_Rates!$C$12))</f>
        <v/>
      </c>
      <c r="K77" s="81" t="str">
        <f ca="1">IF(B77="","",IF(SUMIF(Grades!$A:$A,$B$2,Grades!$BR:$BR)=0,"-",IF(AND(VLOOKUP($B$2,Grades!$A:$BW,75,FALSE)="YES",B77&gt;Thresholds_Rates!$C$17),"-",$C77*Thresholds_Rates!$F$18)))</f>
        <v/>
      </c>
      <c r="L77" s="68"/>
      <c r="M77" s="81" t="str">
        <f t="shared" ca="1" si="8"/>
        <v/>
      </c>
      <c r="N77" s="81" t="str">
        <f t="shared" ca="1" si="9"/>
        <v/>
      </c>
      <c r="O77" s="81" t="str">
        <f t="shared" ca="1" si="10"/>
        <v/>
      </c>
      <c r="P77" s="81" t="str">
        <f t="shared" ca="1" si="11"/>
        <v/>
      </c>
      <c r="Q77" s="81" t="str">
        <f t="shared" ca="1" si="12"/>
        <v/>
      </c>
      <c r="S77" s="83" t="str">
        <f ca="1">IF(B77="","",IF($B$2="R&amp;T Level 5 - Clinical Lecturers (Vet School)",SUMIF('Points Lookup'!$V:$V,$B77,'Points Lookup'!$W:$W),IF($B$2="R&amp;T Level 6 - Clinical Associate Professors and Clinical Readers (Vet School)",SUMIF('Points Lookup'!$AC:$AC,$B77,'Points Lookup'!$AD:$AD),"")))</f>
        <v/>
      </c>
      <c r="T77" s="84" t="str">
        <f ca="1">IF(B77="","",IF($B$2="R&amp;T Level 5 - Clinical Lecturers (Vet School)",$C77-SUMIF('Points Lookup'!$V:$V,$B77,'Points Lookup'!$X:$X),IF($B$2="R&amp;T Level 6 - Clinical Associate Professors and Clinical Readers (Vet School)",$C77-SUMIF('Points Lookup'!$AC:$AC,$B77,'Points Lookup'!$AE:$AE),"")))</f>
        <v/>
      </c>
      <c r="U77" s="83" t="str">
        <f ca="1">IF(B77="","",IF($B$2="R&amp;T Level 5 - Clinical Lecturers (Vet School)",SUMIF('Points Lookup'!$V:$V,$B77,'Points Lookup'!$Z:$Z),IF($B$2="R&amp;T Level 6 - Clinical Associate Professors and Clinical Readers (Vet School)",SUMIF('Points Lookup'!$AC:$AC,$B77,'Points Lookup'!$AG:$AG),"")))</f>
        <v/>
      </c>
      <c r="V77" s="84" t="str">
        <f t="shared" ca="1" si="7"/>
        <v/>
      </c>
    </row>
    <row r="78" spans="2:22" x14ac:dyDescent="0.25">
      <c r="B78" s="68" t="str">
        <f ca="1">IFERROR(INDEX('Points Lookup'!$A:$A,MATCH($AA80,'Points Lookup'!$AN:$AN,0)),"")</f>
        <v/>
      </c>
      <c r="C78" s="81" t="str">
        <f ca="1">IF(B78="","",SUMIF(INDIRECT("'Points Lookup'!"&amp;VLOOKUP($B$2,Grades!A:BU,72,FALSE)&amp;":"&amp;VLOOKUP($B$2,Grades!A:BU,72,FALSE)),B78,INDIRECT("'Points Lookup'!"&amp;VLOOKUP($B$2,Grades!A:BU,73,FALSE)&amp;":"&amp;VLOOKUP($B$2,Grades!A:BU,73,FALSE))))</f>
        <v/>
      </c>
      <c r="D78" s="81"/>
      <c r="E78" s="81"/>
      <c r="F78" s="81" t="str">
        <f ca="1">IF($B78="","",IF(SUMIF(Grades!$A:$A,$B$2,Grades!$BO:$BO)=0,"-",IF(AND(VLOOKUP($B$2,Grades!$A:$BV,74,FALSE)="YES",B78&lt;Thresholds_Rates!$C$16),"-",$C78*Thresholds_Rates!$F$15)))</f>
        <v/>
      </c>
      <c r="G78" s="81" t="str">
        <f ca="1">IF(B78="","",IF(OR($B$2="Salary Points 3 to 57",$B$2="Salary Points 3 to 57 (post-pay award)"),"-",IF(SUMIF(Grades!$A:$A,$B$2,Grades!$BP:$BP)=0,"-",$C78*Thresholds_Rates!$F$16)))</f>
        <v/>
      </c>
      <c r="H78" s="81" t="str">
        <f ca="1">IF(B78="","",IF($B$2="Apprenticeship","-",IF(SUMIF(Grades!$A:$A,$B$2,Grades!$BQ:$BQ)=0,"-",IF(AND(VLOOKUP($B$2,Grades!$A:$BW,75,FALSE)="YES",B78&gt;Thresholds_Rates!$C$17),"-",$C78*Thresholds_Rates!$F$17))))</f>
        <v/>
      </c>
      <c r="I78" s="81" t="str">
        <f ca="1">IF($B78="","",IF($C78=0,0,ROUND(($C78-(Thresholds_Rates!$C$5*12))*Thresholds_Rates!$C$10,0)))</f>
        <v/>
      </c>
      <c r="J78" s="81" t="str">
        <f ca="1">IF(B78="","",(C78*Thresholds_Rates!$C$12))</f>
        <v/>
      </c>
      <c r="K78" s="81" t="str">
        <f ca="1">IF(B78="","",IF(SUMIF(Grades!$A:$A,$B$2,Grades!$BR:$BR)=0,"-",IF(AND(VLOOKUP($B$2,Grades!$A:$BW,75,FALSE)="YES",B78&gt;Thresholds_Rates!$C$17),"-",$C78*Thresholds_Rates!$F$18)))</f>
        <v/>
      </c>
      <c r="L78" s="68"/>
      <c r="M78" s="81" t="str">
        <f t="shared" ca="1" si="8"/>
        <v/>
      </c>
      <c r="N78" s="81" t="str">
        <f t="shared" ca="1" si="9"/>
        <v/>
      </c>
      <c r="O78" s="81" t="str">
        <f t="shared" ca="1" si="10"/>
        <v/>
      </c>
      <c r="P78" s="81" t="str">
        <f t="shared" ca="1" si="11"/>
        <v/>
      </c>
      <c r="Q78" s="81" t="str">
        <f t="shared" ca="1" si="12"/>
        <v/>
      </c>
      <c r="S78" s="83" t="str">
        <f ca="1">IF(B78="","",IF($B$2="R&amp;T Level 5 - Clinical Lecturers (Vet School)",SUMIF('Points Lookup'!$V:$V,$B78,'Points Lookup'!$W:$W),IF($B$2="R&amp;T Level 6 - Clinical Associate Professors and Clinical Readers (Vet School)",SUMIF('Points Lookup'!$AC:$AC,$B78,'Points Lookup'!$AD:$AD),"")))</f>
        <v/>
      </c>
      <c r="T78" s="84" t="str">
        <f ca="1">IF(B78="","",IF($B$2="R&amp;T Level 5 - Clinical Lecturers (Vet School)",$C78-SUMIF('Points Lookup'!$V:$V,$B78,'Points Lookup'!$X:$X),IF($B$2="R&amp;T Level 6 - Clinical Associate Professors and Clinical Readers (Vet School)",$C78-SUMIF('Points Lookup'!$AC:$AC,$B78,'Points Lookup'!$AE:$AE),"")))</f>
        <v/>
      </c>
      <c r="U78" s="83" t="str">
        <f ca="1">IF(B78="","",IF($B$2="R&amp;T Level 5 - Clinical Lecturers (Vet School)",SUMIF('Points Lookup'!$V:$V,$B78,'Points Lookup'!$Z:$Z),IF($B$2="R&amp;T Level 6 - Clinical Associate Professors and Clinical Readers (Vet School)",SUMIF('Points Lookup'!$AC:$AC,$B78,'Points Lookup'!$AG:$AG),"")))</f>
        <v/>
      </c>
      <c r="V78" s="84" t="str">
        <f t="shared" ca="1" si="7"/>
        <v/>
      </c>
    </row>
    <row r="79" spans="2:22" x14ac:dyDescent="0.25">
      <c r="B79" s="68" t="str">
        <f ca="1">IFERROR(INDEX('Points Lookup'!$A:$A,MATCH($AA81,'Points Lookup'!$AN:$AN,0)),"")</f>
        <v/>
      </c>
      <c r="C79" s="81" t="str">
        <f ca="1">IF(B79="","",SUMIF(INDIRECT("'Points Lookup'!"&amp;VLOOKUP($B$2,Grades!A:BU,72,FALSE)&amp;":"&amp;VLOOKUP($B$2,Grades!A:BU,72,FALSE)),B79,INDIRECT("'Points Lookup'!"&amp;VLOOKUP($B$2,Grades!A:BU,73,FALSE)&amp;":"&amp;VLOOKUP($B$2,Grades!A:BU,73,FALSE))))</f>
        <v/>
      </c>
      <c r="D79" s="81"/>
      <c r="E79" s="81"/>
      <c r="F79" s="81" t="str">
        <f ca="1">IF($B79="","",IF(SUMIF(Grades!$A:$A,$B$2,Grades!$BO:$BO)=0,"-",IF(AND(VLOOKUP($B$2,Grades!$A:$BV,74,FALSE)="YES",B79&lt;Thresholds_Rates!$C$16),"-",$C79*Thresholds_Rates!$F$15)))</f>
        <v/>
      </c>
      <c r="G79" s="81" t="str">
        <f ca="1">IF(B79="","",IF(OR($B$2="Salary Points 3 to 57",$B$2="Salary Points 3 to 57 (post-pay award)"),"-",IF(SUMIF(Grades!$A:$A,$B$2,Grades!$BP:$BP)=0,"-",$C79*Thresholds_Rates!$F$16)))</f>
        <v/>
      </c>
      <c r="H79" s="81" t="str">
        <f ca="1">IF(B79="","",IF($B$2="Apprenticeship","-",IF(SUMIF(Grades!$A:$A,$B$2,Grades!$BQ:$BQ)=0,"-",IF(AND(VLOOKUP($B$2,Grades!$A:$BW,75,FALSE)="YES",B79&gt;Thresholds_Rates!$C$17),"-",$C79*Thresholds_Rates!$F$17))))</f>
        <v/>
      </c>
      <c r="I79" s="81" t="str">
        <f ca="1">IF($B79="","",IF($C79=0,0,ROUND(($C79-(Thresholds_Rates!$C$5*12))*Thresholds_Rates!$C$10,0)))</f>
        <v/>
      </c>
      <c r="J79" s="81" t="str">
        <f ca="1">IF(B79="","",(C79*Thresholds_Rates!$C$12))</f>
        <v/>
      </c>
      <c r="K79" s="81" t="str">
        <f ca="1">IF(B79="","",IF(SUMIF(Grades!$A:$A,$B$2,Grades!$BR:$BR)=0,"-",IF(AND(VLOOKUP($B$2,Grades!$A:$BW,75,FALSE)="YES",B79&gt;Thresholds_Rates!$C$17),"-",$C79*Thresholds_Rates!$F$18)))</f>
        <v/>
      </c>
      <c r="L79" s="68"/>
      <c r="M79" s="81" t="str">
        <f t="shared" ca="1" si="8"/>
        <v/>
      </c>
      <c r="N79" s="81" t="str">
        <f t="shared" ca="1" si="9"/>
        <v/>
      </c>
      <c r="O79" s="81" t="str">
        <f t="shared" ca="1" si="10"/>
        <v/>
      </c>
      <c r="P79" s="81" t="str">
        <f t="shared" ca="1" si="11"/>
        <v/>
      </c>
      <c r="Q79" s="81" t="str">
        <f t="shared" ca="1" si="12"/>
        <v/>
      </c>
      <c r="S79" s="83" t="str">
        <f ca="1">IF(B79="","",IF($B$2="R&amp;T Level 5 - Clinical Lecturers (Vet School)",SUMIF('Points Lookup'!$V:$V,$B79,'Points Lookup'!$W:$W),IF($B$2="R&amp;T Level 6 - Clinical Associate Professors and Clinical Readers (Vet School)",SUMIF('Points Lookup'!$AC:$AC,$B79,'Points Lookup'!$AD:$AD),"")))</f>
        <v/>
      </c>
      <c r="T79" s="84" t="str">
        <f ca="1">IF(B79="","",IF($B$2="R&amp;T Level 5 - Clinical Lecturers (Vet School)",$C79-SUMIF('Points Lookup'!$V:$V,$B79,'Points Lookup'!$X:$X),IF($B$2="R&amp;T Level 6 - Clinical Associate Professors and Clinical Readers (Vet School)",$C79-SUMIF('Points Lookup'!$AC:$AC,$B79,'Points Lookup'!$AE:$AE),"")))</f>
        <v/>
      </c>
      <c r="U79" s="83" t="str">
        <f ca="1">IF(B79="","",IF($B$2="R&amp;T Level 5 - Clinical Lecturers (Vet School)",SUMIF('Points Lookup'!$V:$V,$B79,'Points Lookup'!$Z:$Z),IF($B$2="R&amp;T Level 6 - Clinical Associate Professors and Clinical Readers (Vet School)",SUMIF('Points Lookup'!$AC:$AC,$B79,'Points Lookup'!$AG:$AG),"")))</f>
        <v/>
      </c>
      <c r="V79" s="84" t="str">
        <f t="shared" ca="1" si="7"/>
        <v/>
      </c>
    </row>
    <row r="80" spans="2:22" x14ac:dyDescent="0.25">
      <c r="B80" s="68" t="str">
        <f ca="1">IFERROR(INDEX('Points Lookup'!$A:$A,MATCH($AA82,'Points Lookup'!$AN:$AN,0)),"")</f>
        <v/>
      </c>
      <c r="C80" s="81" t="str">
        <f ca="1">IF(B80="","",SUMIF(INDIRECT("'Points Lookup'!"&amp;VLOOKUP($B$2,Grades!A:BU,72,FALSE)&amp;":"&amp;VLOOKUP($B$2,Grades!A:BU,72,FALSE)),B80,INDIRECT("'Points Lookup'!"&amp;VLOOKUP($B$2,Grades!A:BU,73,FALSE)&amp;":"&amp;VLOOKUP($B$2,Grades!A:BU,73,FALSE))))</f>
        <v/>
      </c>
      <c r="D80" s="81"/>
      <c r="E80" s="81"/>
      <c r="F80" s="81" t="str">
        <f ca="1">IF($B80="","",IF(SUMIF(Grades!$A:$A,$B$2,Grades!$BO:$BO)=0,"-",IF(AND(VLOOKUP($B$2,Grades!$A:$BV,74,FALSE)="YES",B80&lt;Thresholds_Rates!$C$16),"-",$C80*Thresholds_Rates!$F$15)))</f>
        <v/>
      </c>
      <c r="G80" s="81" t="str">
        <f ca="1">IF(B80="","",IF(OR($B$2="Salary Points 3 to 57",$B$2="Salary Points 3 to 57 (post-pay award)"),"-",IF(SUMIF(Grades!$A:$A,$B$2,Grades!$BP:$BP)=0,"-",$C80*Thresholds_Rates!$F$16)))</f>
        <v/>
      </c>
      <c r="H80" s="81" t="str">
        <f ca="1">IF(B80="","",IF($B$2="Apprenticeship","-",IF(SUMIF(Grades!$A:$A,$B$2,Grades!$BQ:$BQ)=0,"-",IF(AND(VLOOKUP($B$2,Grades!$A:$BW,75,FALSE)="YES",B80&gt;Thresholds_Rates!$C$17),"-",$C80*Thresholds_Rates!$F$17))))</f>
        <v/>
      </c>
      <c r="I80" s="81" t="str">
        <f ca="1">IF($B80="","",IF($C80=0,0,ROUND(($C80-(Thresholds_Rates!$C$5*12))*Thresholds_Rates!$C$10,0)))</f>
        <v/>
      </c>
      <c r="J80" s="81" t="str">
        <f ca="1">IF(B80="","",(C80*Thresholds_Rates!$C$12))</f>
        <v/>
      </c>
      <c r="K80" s="81" t="str">
        <f ca="1">IF(B80="","",IF(SUMIF(Grades!$A:$A,$B$2,Grades!$BR:$BR)=0,"-",IF(AND(VLOOKUP($B$2,Grades!$A:$BW,75,FALSE)="YES",B80&gt;Thresholds_Rates!$C$17),"-",$C80*Thresholds_Rates!$F$18)))</f>
        <v/>
      </c>
      <c r="L80" s="68"/>
      <c r="M80" s="81" t="str">
        <f t="shared" ca="1" si="8"/>
        <v/>
      </c>
      <c r="N80" s="81" t="str">
        <f t="shared" ca="1" si="9"/>
        <v/>
      </c>
      <c r="O80" s="81" t="str">
        <f t="shared" ca="1" si="10"/>
        <v/>
      </c>
      <c r="P80" s="81" t="str">
        <f t="shared" ca="1" si="11"/>
        <v/>
      </c>
      <c r="Q80" s="81" t="str">
        <f t="shared" ca="1" si="12"/>
        <v/>
      </c>
      <c r="S80" s="83" t="str">
        <f ca="1">IF(B80="","",IF($B$2="R&amp;T Level 5 - Clinical Lecturers (Vet School)",SUMIF('Points Lookup'!$V:$V,$B80,'Points Lookup'!$W:$W),IF($B$2="R&amp;T Level 6 - Clinical Associate Professors and Clinical Readers (Vet School)",SUMIF('Points Lookup'!$AC:$AC,$B80,'Points Lookup'!$AD:$AD),"")))</f>
        <v/>
      </c>
      <c r="T80" s="84" t="str">
        <f ca="1">IF(B80="","",IF($B$2="R&amp;T Level 5 - Clinical Lecturers (Vet School)",$C80-SUMIF('Points Lookup'!$V:$V,$B80,'Points Lookup'!$X:$X),IF($B$2="R&amp;T Level 6 - Clinical Associate Professors and Clinical Readers (Vet School)",$C80-SUMIF('Points Lookup'!$AC:$AC,$B80,'Points Lookup'!$AE:$AE),"")))</f>
        <v/>
      </c>
      <c r="U80" s="83" t="str">
        <f ca="1">IF(B80="","",IF($B$2="R&amp;T Level 5 - Clinical Lecturers (Vet School)",SUMIF('Points Lookup'!$V:$V,$B80,'Points Lookup'!$Z:$Z),IF($B$2="R&amp;T Level 6 - Clinical Associate Professors and Clinical Readers (Vet School)",SUMIF('Points Lookup'!$AC:$AC,$B80,'Points Lookup'!$AG:$AG),"")))</f>
        <v/>
      </c>
      <c r="V80" s="84" t="str">
        <f t="shared" ca="1" si="7"/>
        <v/>
      </c>
    </row>
    <row r="81" spans="2:22" x14ac:dyDescent="0.25">
      <c r="B81" s="68" t="str">
        <f ca="1">IFERROR(INDEX('Points Lookup'!$A:$A,MATCH($AA83,'Points Lookup'!$AN:$AN,0)),"")</f>
        <v/>
      </c>
      <c r="C81" s="81" t="str">
        <f ca="1">IF(B81="","",SUMIF(INDIRECT("'Points Lookup'!"&amp;VLOOKUP($B$2,Grades!A:BU,72,FALSE)&amp;":"&amp;VLOOKUP($B$2,Grades!A:BU,72,FALSE)),B81,INDIRECT("'Points Lookup'!"&amp;VLOOKUP($B$2,Grades!A:BU,73,FALSE)&amp;":"&amp;VLOOKUP($B$2,Grades!A:BU,73,FALSE))))</f>
        <v/>
      </c>
      <c r="D81" s="81"/>
      <c r="E81" s="81"/>
      <c r="F81" s="81" t="str">
        <f ca="1">IF($B81="","",IF(SUMIF(Grades!$A:$A,$B$2,Grades!$BO:$BO)=0,"-",IF(AND(VLOOKUP($B$2,Grades!$A:$BV,74,FALSE)="YES",B81&lt;Thresholds_Rates!$C$16),"-",$C81*Thresholds_Rates!$F$15)))</f>
        <v/>
      </c>
      <c r="G81" s="81" t="str">
        <f ca="1">IF(B81="","",IF(OR($B$2="Salary Points 3 to 57",$B$2="Salary Points 3 to 57 (post-pay award)"),"-",IF(SUMIF(Grades!$A:$A,$B$2,Grades!$BP:$BP)=0,"-",$C81*Thresholds_Rates!$F$16)))</f>
        <v/>
      </c>
      <c r="H81" s="81" t="str">
        <f ca="1">IF(B81="","",IF($B$2="Apprenticeship","-",IF(SUMIF(Grades!$A:$A,$B$2,Grades!$BQ:$BQ)=0,"-",IF(AND(VLOOKUP($B$2,Grades!$A:$BW,75,FALSE)="YES",B81&gt;Thresholds_Rates!$C$17),"-",$C81*Thresholds_Rates!$F$17))))</f>
        <v/>
      </c>
      <c r="I81" s="81" t="str">
        <f ca="1">IF($B81="","",IF($C81=0,0,ROUND(($C81-(Thresholds_Rates!$C$5*12))*Thresholds_Rates!$C$10,0)))</f>
        <v/>
      </c>
      <c r="J81" s="81" t="str">
        <f ca="1">IF(B81="","",(C81*Thresholds_Rates!$C$12))</f>
        <v/>
      </c>
      <c r="K81" s="81" t="str">
        <f ca="1">IF(B81="","",IF(SUMIF(Grades!$A:$A,$B$2,Grades!$BR:$BR)=0,"-",IF(AND(VLOOKUP($B$2,Grades!$A:$BW,75,FALSE)="YES",B81&gt;Thresholds_Rates!$C$17),"-",$C81*Thresholds_Rates!$F$18)))</f>
        <v/>
      </c>
      <c r="L81" s="68"/>
      <c r="M81" s="81" t="str">
        <f t="shared" ca="1" si="8"/>
        <v/>
      </c>
      <c r="N81" s="81" t="str">
        <f t="shared" ca="1" si="9"/>
        <v/>
      </c>
      <c r="O81" s="81" t="str">
        <f t="shared" ca="1" si="10"/>
        <v/>
      </c>
      <c r="P81" s="81" t="str">
        <f t="shared" ca="1" si="11"/>
        <v/>
      </c>
      <c r="Q81" s="81" t="str">
        <f t="shared" ca="1" si="12"/>
        <v/>
      </c>
      <c r="S81" s="83" t="str">
        <f ca="1">IF(B81="","",IF($B$2="R&amp;T Level 5 - Clinical Lecturers (Vet School)",SUMIF('Points Lookup'!$V:$V,$B81,'Points Lookup'!$W:$W),IF($B$2="R&amp;T Level 6 - Clinical Associate Professors and Clinical Readers (Vet School)",SUMIF('Points Lookup'!$AC:$AC,$B81,'Points Lookup'!$AD:$AD),"")))</f>
        <v/>
      </c>
      <c r="T81" s="84" t="str">
        <f ca="1">IF(B81="","",IF($B$2="R&amp;T Level 5 - Clinical Lecturers (Vet School)",$C81-SUMIF('Points Lookup'!$V:$V,$B81,'Points Lookup'!$X:$X),IF($B$2="R&amp;T Level 6 - Clinical Associate Professors and Clinical Readers (Vet School)",$C81-SUMIF('Points Lookup'!$AC:$AC,$B81,'Points Lookup'!$AE:$AE),"")))</f>
        <v/>
      </c>
      <c r="U81" s="83" t="str">
        <f ca="1">IF(B81="","",IF($B$2="R&amp;T Level 5 - Clinical Lecturers (Vet School)",SUMIF('Points Lookup'!$V:$V,$B81,'Points Lookup'!$Z:$Z),IF($B$2="R&amp;T Level 6 - Clinical Associate Professors and Clinical Readers (Vet School)",SUMIF('Points Lookup'!$AC:$AC,$B81,'Points Lookup'!$AG:$AG),"")))</f>
        <v/>
      </c>
      <c r="V81" s="84" t="str">
        <f t="shared" ca="1" si="7"/>
        <v/>
      </c>
    </row>
    <row r="82" spans="2:22" x14ac:dyDescent="0.25">
      <c r="B82" s="68" t="str">
        <f ca="1">IFERROR(INDEX('Points Lookup'!$A:$A,MATCH($AA84,'Points Lookup'!$AN:$AN,0)),"")</f>
        <v/>
      </c>
      <c r="C82" s="81" t="str">
        <f ca="1">IF(B82="","",SUMIF(INDIRECT("'Points Lookup'!"&amp;VLOOKUP($B$2,Grades!A:BU,72,FALSE)&amp;":"&amp;VLOOKUP($B$2,Grades!A:BU,72,FALSE)),B82,INDIRECT("'Points Lookup'!"&amp;VLOOKUP($B$2,Grades!A:BU,73,FALSE)&amp;":"&amp;VLOOKUP($B$2,Grades!A:BU,73,FALSE))))</f>
        <v/>
      </c>
      <c r="D82" s="81"/>
      <c r="E82" s="81"/>
      <c r="F82" s="81" t="str">
        <f ca="1">IF($B82="","",IF(SUMIF(Grades!$A:$A,$B$2,Grades!$BO:$BO)=0,"-",IF(AND(VLOOKUP($B$2,Grades!$A:$BV,74,FALSE)="YES",B82&lt;Thresholds_Rates!$C$16),"-",$C82*Thresholds_Rates!$F$15)))</f>
        <v/>
      </c>
      <c r="G82" s="81" t="str">
        <f ca="1">IF(B82="","",IF(OR($B$2="Salary Points 3 to 57",$B$2="Salary Points 3 to 57 (post-pay award)"),"-",IF(SUMIF(Grades!$A:$A,$B$2,Grades!$BP:$BP)=0,"-",$C82*Thresholds_Rates!$F$16)))</f>
        <v/>
      </c>
      <c r="H82" s="81" t="str">
        <f ca="1">IF(B82="","",IF($B$2="Apprenticeship","-",IF(SUMIF(Grades!$A:$A,$B$2,Grades!$BQ:$BQ)=0,"-",IF(AND(VLOOKUP($B$2,Grades!$A:$BW,75,FALSE)="YES",B82&gt;Thresholds_Rates!$C$17),"-",$C82*Thresholds_Rates!$F$17))))</f>
        <v/>
      </c>
      <c r="I82" s="81" t="str">
        <f ca="1">IF($B82="","",IF($C82=0,0,ROUND(($C82-(Thresholds_Rates!$C$5*12))*Thresholds_Rates!$C$10,0)))</f>
        <v/>
      </c>
      <c r="J82" s="81" t="str">
        <f ca="1">IF(B82="","",(C82*Thresholds_Rates!$C$12))</f>
        <v/>
      </c>
      <c r="K82" s="81" t="str">
        <f ca="1">IF(B82="","",IF(SUMIF(Grades!$A:$A,$B$2,Grades!$BR:$BR)=0,"-",IF(AND(VLOOKUP($B$2,Grades!$A:$BW,75,FALSE)="YES",B82&gt;Thresholds_Rates!$C$17),"-",$C82*Thresholds_Rates!$F$18)))</f>
        <v/>
      </c>
      <c r="L82" s="68"/>
      <c r="M82" s="81" t="str">
        <f t="shared" ca="1" si="8"/>
        <v/>
      </c>
      <c r="N82" s="81" t="str">
        <f t="shared" ca="1" si="9"/>
        <v/>
      </c>
      <c r="O82" s="81" t="str">
        <f t="shared" ca="1" si="10"/>
        <v/>
      </c>
      <c r="P82" s="81" t="str">
        <f t="shared" ca="1" si="11"/>
        <v/>
      </c>
      <c r="Q82" s="81" t="str">
        <f t="shared" ca="1" si="12"/>
        <v/>
      </c>
      <c r="S82" s="83" t="str">
        <f ca="1">IF(B82="","",IF($B$2="R&amp;T Level 5 - Clinical Lecturers (Vet School)",SUMIF('Points Lookup'!$V:$V,$B82,'Points Lookup'!$W:$W),IF($B$2="R&amp;T Level 6 - Clinical Associate Professors and Clinical Readers (Vet School)",SUMIF('Points Lookup'!$AC:$AC,$B82,'Points Lookup'!$AD:$AD),"")))</f>
        <v/>
      </c>
      <c r="T82" s="84" t="str">
        <f ca="1">IF(B82="","",IF($B$2="R&amp;T Level 5 - Clinical Lecturers (Vet School)",$C82-SUMIF('Points Lookup'!$V:$V,$B82,'Points Lookup'!$X:$X),IF($B$2="R&amp;T Level 6 - Clinical Associate Professors and Clinical Readers (Vet School)",$C82-SUMIF('Points Lookup'!$AC:$AC,$B82,'Points Lookup'!$AE:$AE),"")))</f>
        <v/>
      </c>
      <c r="U82" s="83" t="str">
        <f ca="1">IF(B82="","",IF($B$2="R&amp;T Level 5 - Clinical Lecturers (Vet School)",SUMIF('Points Lookup'!$V:$V,$B82,'Points Lookup'!$Z:$Z),IF($B$2="R&amp;T Level 6 - Clinical Associate Professors and Clinical Readers (Vet School)",SUMIF('Points Lookup'!$AC:$AC,$B82,'Points Lookup'!$AG:$AG),"")))</f>
        <v/>
      </c>
      <c r="V82" s="84" t="str">
        <f t="shared" ca="1" si="7"/>
        <v/>
      </c>
    </row>
    <row r="83" spans="2:22" x14ac:dyDescent="0.25">
      <c r="B83" s="68" t="str">
        <f ca="1">IFERROR(INDEX('Points Lookup'!$A:$A,MATCH($AA85,'Points Lookup'!$AN:$AN,0)),"")</f>
        <v/>
      </c>
      <c r="C83" s="81" t="str">
        <f ca="1">IF(B83="","",SUMIF(INDIRECT("'Points Lookup'!"&amp;VLOOKUP($B$2,Grades!A:BU,72,FALSE)&amp;":"&amp;VLOOKUP($B$2,Grades!A:BU,72,FALSE)),B83,INDIRECT("'Points Lookup'!"&amp;VLOOKUP($B$2,Grades!A:BU,73,FALSE)&amp;":"&amp;VLOOKUP($B$2,Grades!A:BU,73,FALSE))))</f>
        <v/>
      </c>
      <c r="D83" s="81"/>
      <c r="E83" s="81"/>
      <c r="F83" s="81" t="str">
        <f ca="1">IF($B83="","",IF(SUMIF(Grades!$A:$A,$B$2,Grades!$BO:$BO)=0,"-",IF(AND(VLOOKUP($B$2,Grades!$A:$BV,74,FALSE)="YES",B83&lt;Thresholds_Rates!$C$16),"-",$C83*Thresholds_Rates!$F$15)))</f>
        <v/>
      </c>
      <c r="G83" s="81" t="str">
        <f ca="1">IF(B83="","",IF(OR($B$2="Salary Points 3 to 57",$B$2="Salary Points 3 to 57 (post-pay award)"),"-",IF(SUMIF(Grades!$A:$A,$B$2,Grades!$BP:$BP)=0,"-",$C83*Thresholds_Rates!$F$16)))</f>
        <v/>
      </c>
      <c r="H83" s="81" t="str">
        <f ca="1">IF(B83="","",IF($B$2="Apprenticeship","-",IF(SUMIF(Grades!$A:$A,$B$2,Grades!$BQ:$BQ)=0,"-",IF(AND(VLOOKUP($B$2,Grades!$A:$BW,75,FALSE)="YES",B83&gt;Thresholds_Rates!$C$17),"-",$C83*Thresholds_Rates!$F$17))))</f>
        <v/>
      </c>
      <c r="I83" s="81" t="str">
        <f ca="1">IF($B83="","",IF($C83=0,0,ROUND(($C83-(Thresholds_Rates!$C$5*12))*Thresholds_Rates!$C$10,0)))</f>
        <v/>
      </c>
      <c r="J83" s="81" t="str">
        <f ca="1">IF(B83="","",(C83*Thresholds_Rates!$C$12))</f>
        <v/>
      </c>
      <c r="K83" s="81" t="str">
        <f ca="1">IF(B83="","",IF(SUMIF(Grades!$A:$A,$B$2,Grades!$BR:$BR)=0,"-",IF(AND(VLOOKUP($B$2,Grades!$A:$BW,75,FALSE)="YES",B83&gt;Thresholds_Rates!$C$17),"-",$C83*Thresholds_Rates!$F$18)))</f>
        <v/>
      </c>
      <c r="L83" s="68"/>
      <c r="M83" s="81" t="str">
        <f t="shared" ca="1" si="8"/>
        <v/>
      </c>
      <c r="N83" s="81" t="str">
        <f t="shared" ca="1" si="9"/>
        <v/>
      </c>
      <c r="O83" s="81" t="str">
        <f t="shared" ca="1" si="10"/>
        <v/>
      </c>
      <c r="P83" s="81" t="str">
        <f t="shared" ca="1" si="11"/>
        <v/>
      </c>
      <c r="Q83" s="81" t="str">
        <f t="shared" ca="1" si="12"/>
        <v/>
      </c>
      <c r="S83" s="83" t="str">
        <f ca="1">IF(B83="","",IF($B$2="R&amp;T Level 5 - Clinical Lecturers (Vet School)",SUMIF('Points Lookup'!$V:$V,$B83,'Points Lookup'!$W:$W),IF($B$2="R&amp;T Level 6 - Clinical Associate Professors and Clinical Readers (Vet School)",SUMIF('Points Lookup'!$AC:$AC,$B83,'Points Lookup'!$AD:$AD),"")))</f>
        <v/>
      </c>
      <c r="T83" s="84" t="str">
        <f ca="1">IF(B83="","",IF($B$2="R&amp;T Level 5 - Clinical Lecturers (Vet School)",$C83-SUMIF('Points Lookup'!$V:$V,$B83,'Points Lookup'!$X:$X),IF($B$2="R&amp;T Level 6 - Clinical Associate Professors and Clinical Readers (Vet School)",$C83-SUMIF('Points Lookup'!$AC:$AC,$B83,'Points Lookup'!$AE:$AE),"")))</f>
        <v/>
      </c>
      <c r="U83" s="83" t="str">
        <f ca="1">IF(B83="","",IF($B$2="R&amp;T Level 5 - Clinical Lecturers (Vet School)",SUMIF('Points Lookup'!$V:$V,$B83,'Points Lookup'!$Z:$Z),IF($B$2="R&amp;T Level 6 - Clinical Associate Professors and Clinical Readers (Vet School)",SUMIF('Points Lookup'!$AC:$AC,$B83,'Points Lookup'!$AG:$AG),"")))</f>
        <v/>
      </c>
      <c r="V83" s="84" t="str">
        <f t="shared" ca="1" si="7"/>
        <v/>
      </c>
    </row>
    <row r="84" spans="2:22" x14ac:dyDescent="0.25">
      <c r="B84" s="68" t="str">
        <f ca="1">IFERROR(INDEX('Points Lookup'!$A:$A,MATCH($AA86,'Points Lookup'!$AN:$AN,0)),"")</f>
        <v/>
      </c>
      <c r="C84" s="81" t="str">
        <f ca="1">IF(B84="","",SUMIF(INDIRECT("'Points Lookup'!"&amp;VLOOKUP($B$2,Grades!A:BU,72,FALSE)&amp;":"&amp;VLOOKUP($B$2,Grades!A:BU,72,FALSE)),B84,INDIRECT("'Points Lookup'!"&amp;VLOOKUP($B$2,Grades!A:BU,73,FALSE)&amp;":"&amp;VLOOKUP($B$2,Grades!A:BU,73,FALSE))))</f>
        <v/>
      </c>
      <c r="D84" s="81"/>
      <c r="E84" s="81"/>
      <c r="F84" s="81" t="str">
        <f ca="1">IF($B84="","",IF(SUMIF(Grades!$A:$A,$B$2,Grades!$BO:$BO)=0,"-",IF(AND(VLOOKUP($B$2,Grades!$A:$BV,74,FALSE)="YES",B84&lt;Thresholds_Rates!$C$16),"-",$C84*Thresholds_Rates!$F$15)))</f>
        <v/>
      </c>
      <c r="G84" s="81" t="str">
        <f ca="1">IF(B84="","",IF(OR($B$2="Salary Points 3 to 57",$B$2="Salary Points 3 to 57 (post-pay award)"),"-",IF(SUMIF(Grades!$A:$A,$B$2,Grades!$BP:$BP)=0,"-",$C84*Thresholds_Rates!$F$16)))</f>
        <v/>
      </c>
      <c r="H84" s="81" t="str">
        <f ca="1">IF(B84="","",IF($B$2="Apprenticeship","-",IF(SUMIF(Grades!$A:$A,$B$2,Grades!$BQ:$BQ)=0,"-",IF(AND(VLOOKUP($B$2,Grades!$A:$BW,75,FALSE)="YES",B84&gt;Thresholds_Rates!$C$17),"-",$C84*Thresholds_Rates!$F$17))))</f>
        <v/>
      </c>
      <c r="I84" s="81" t="str">
        <f ca="1">IF($B84="","",IF($C84=0,0,ROUND(($C84-(Thresholds_Rates!$C$5*12))*Thresholds_Rates!$C$10,0)))</f>
        <v/>
      </c>
      <c r="J84" s="81" t="str">
        <f ca="1">IF(B84="","",(C84*Thresholds_Rates!$C$12))</f>
        <v/>
      </c>
      <c r="K84" s="81" t="str">
        <f ca="1">IF(B84="","",IF(SUMIF(Grades!$A:$A,$B$2,Grades!$BR:$BR)=0,"-",IF(AND(VLOOKUP($B$2,Grades!$A:$BW,75,FALSE)="YES",B84&gt;Thresholds_Rates!$C$17),"-",$C84*Thresholds_Rates!$F$18)))</f>
        <v/>
      </c>
      <c r="L84" s="68"/>
      <c r="M84" s="81" t="str">
        <f t="shared" ca="1" si="8"/>
        <v/>
      </c>
      <c r="N84" s="81" t="str">
        <f t="shared" ca="1" si="9"/>
        <v/>
      </c>
      <c r="O84" s="81" t="str">
        <f t="shared" ca="1" si="10"/>
        <v/>
      </c>
      <c r="P84" s="81" t="str">
        <f t="shared" ca="1" si="11"/>
        <v/>
      </c>
      <c r="Q84" s="81" t="str">
        <f t="shared" ca="1" si="12"/>
        <v/>
      </c>
      <c r="S84" s="83" t="str">
        <f ca="1">IF(B84="","",IF($B$2="R&amp;T Level 5 - Clinical Lecturers (Vet School)",SUMIF('Points Lookup'!$V:$V,$B84,'Points Lookup'!$W:$W),IF($B$2="R&amp;T Level 6 - Clinical Associate Professors and Clinical Readers (Vet School)",SUMIF('Points Lookup'!$AC:$AC,$B84,'Points Lookup'!$AD:$AD),"")))</f>
        <v/>
      </c>
      <c r="T84" s="84" t="str">
        <f ca="1">IF(B84="","",IF($B$2="R&amp;T Level 5 - Clinical Lecturers (Vet School)",$C84-SUMIF('Points Lookup'!$V:$V,$B84,'Points Lookup'!$X:$X),IF($B$2="R&amp;T Level 6 - Clinical Associate Professors and Clinical Readers (Vet School)",$C84-SUMIF('Points Lookup'!$AC:$AC,$B84,'Points Lookup'!$AE:$AE),"")))</f>
        <v/>
      </c>
      <c r="U84" s="83" t="str">
        <f ca="1">IF(B84="","",IF($B$2="R&amp;T Level 5 - Clinical Lecturers (Vet School)",SUMIF('Points Lookup'!$V:$V,$B84,'Points Lookup'!$Z:$Z),IF($B$2="R&amp;T Level 6 - Clinical Associate Professors and Clinical Readers (Vet School)",SUMIF('Points Lookup'!$AC:$AC,$B84,'Points Lookup'!$AG:$AG),"")))</f>
        <v/>
      </c>
      <c r="V84" s="84" t="str">
        <f t="shared" ca="1" si="7"/>
        <v/>
      </c>
    </row>
    <row r="85" spans="2:22" x14ac:dyDescent="0.25">
      <c r="B85" s="68" t="str">
        <f ca="1">IFERROR(INDEX('Points Lookup'!$A:$A,MATCH($AA87,'Points Lookup'!$AN:$AN,0)),"")</f>
        <v/>
      </c>
      <c r="C85" s="81" t="str">
        <f ca="1">IF(B85="","",SUMIF(INDIRECT("'Points Lookup'!"&amp;VLOOKUP($B$2,Grades!A:BU,72,FALSE)&amp;":"&amp;VLOOKUP($B$2,Grades!A:BU,72,FALSE)),B85,INDIRECT("'Points Lookup'!"&amp;VLOOKUP($B$2,Grades!A:BU,73,FALSE)&amp;":"&amp;VLOOKUP($B$2,Grades!A:BU,73,FALSE))))</f>
        <v/>
      </c>
      <c r="D85" s="81"/>
      <c r="E85" s="81"/>
      <c r="F85" s="81" t="str">
        <f ca="1">IF($B85="","",IF(SUMIF(Grades!$A:$A,$B$2,Grades!$BO:$BO)=0,"-",IF(AND(VLOOKUP($B$2,Grades!$A:$BV,74,FALSE)="YES",B85&lt;Thresholds_Rates!$C$16),"-",$C85*Thresholds_Rates!$F$15)))</f>
        <v/>
      </c>
      <c r="G85" s="81" t="str">
        <f ca="1">IF(B85="","",IF(OR($B$2="Salary Points 3 to 57",$B$2="Salary Points 3 to 57 (post-pay award)"),"-",IF(SUMIF(Grades!$A:$A,$B$2,Grades!$BP:$BP)=0,"-",$C85*Thresholds_Rates!$F$16)))</f>
        <v/>
      </c>
      <c r="H85" s="81" t="str">
        <f ca="1">IF(B85="","",IF($B$2="Apprenticeship","-",IF(SUMIF(Grades!$A:$A,$B$2,Grades!$BQ:$BQ)=0,"-",IF(AND(VLOOKUP($B$2,Grades!$A:$BW,75,FALSE)="YES",B85&gt;Thresholds_Rates!$C$17),"-",$C85*Thresholds_Rates!$F$17))))</f>
        <v/>
      </c>
      <c r="I85" s="81" t="str">
        <f ca="1">IF($B85="","",IF($C85=0,0,ROUND(($C85-(Thresholds_Rates!$C$5*12))*Thresholds_Rates!$C$10,0)))</f>
        <v/>
      </c>
      <c r="J85" s="81" t="str">
        <f ca="1">IF(B85="","",(C85*Thresholds_Rates!$C$12))</f>
        <v/>
      </c>
      <c r="K85" s="81" t="str">
        <f ca="1">IF(B85="","",IF(SUMIF(Grades!$A:$A,$B$2,Grades!$BR:$BR)=0,"-",IF(AND(VLOOKUP($B$2,Grades!$A:$BW,75,FALSE)="YES",B85&gt;Thresholds_Rates!$C$17),"-",$C85*Thresholds_Rates!$F$18)))</f>
        <v/>
      </c>
      <c r="L85" s="68"/>
      <c r="M85" s="81" t="str">
        <f t="shared" ca="1" si="8"/>
        <v/>
      </c>
      <c r="N85" s="81" t="str">
        <f t="shared" ca="1" si="9"/>
        <v/>
      </c>
      <c r="O85" s="81" t="str">
        <f t="shared" ca="1" si="10"/>
        <v/>
      </c>
      <c r="P85" s="81" t="str">
        <f t="shared" ca="1" si="11"/>
        <v/>
      </c>
      <c r="Q85" s="81" t="str">
        <f t="shared" ca="1" si="12"/>
        <v/>
      </c>
      <c r="S85" s="83" t="str">
        <f ca="1">IF(B85="","",IF($B$2="R&amp;T Level 5 - Clinical Lecturers (Vet School)",SUMIF('Points Lookup'!$V:$V,$B85,'Points Lookup'!$W:$W),IF($B$2="R&amp;T Level 6 - Clinical Associate Professors and Clinical Readers (Vet School)",SUMIF('Points Lookup'!$AC:$AC,$B85,'Points Lookup'!$AD:$AD),"")))</f>
        <v/>
      </c>
      <c r="T85" s="84" t="str">
        <f ca="1">IF(B85="","",IF($B$2="R&amp;T Level 5 - Clinical Lecturers (Vet School)",$C85-SUMIF('Points Lookup'!$V:$V,$B85,'Points Lookup'!$X:$X),IF($B$2="R&amp;T Level 6 - Clinical Associate Professors and Clinical Readers (Vet School)",$C85-SUMIF('Points Lookup'!$AC:$AC,$B85,'Points Lookup'!$AE:$AE),"")))</f>
        <v/>
      </c>
      <c r="U85" s="83" t="str">
        <f ca="1">IF(B85="","",IF($B$2="R&amp;T Level 5 - Clinical Lecturers (Vet School)",SUMIF('Points Lookup'!$V:$V,$B85,'Points Lookup'!$Z:$Z),IF($B$2="R&amp;T Level 6 - Clinical Associate Professors and Clinical Readers (Vet School)",SUMIF('Points Lookup'!$AC:$AC,$B85,'Points Lookup'!$AG:$AG),"")))</f>
        <v/>
      </c>
      <c r="V85" s="84" t="str">
        <f t="shared" ca="1" si="7"/>
        <v/>
      </c>
    </row>
    <row r="86" spans="2:22" x14ac:dyDescent="0.25">
      <c r="B86" s="68" t="str">
        <f ca="1">IFERROR(INDEX('Points Lookup'!$A:$A,MATCH($AA88,'Points Lookup'!$AN:$AN,0)),"")</f>
        <v/>
      </c>
      <c r="C86" s="81" t="str">
        <f ca="1">IF(B86="","",SUMIF(INDIRECT("'Points Lookup'!"&amp;VLOOKUP($B$2,Grades!A:BU,72,FALSE)&amp;":"&amp;VLOOKUP($B$2,Grades!A:BU,72,FALSE)),B86,INDIRECT("'Points Lookup'!"&amp;VLOOKUP($B$2,Grades!A:BU,73,FALSE)&amp;":"&amp;VLOOKUP($B$2,Grades!A:BU,73,FALSE))))</f>
        <v/>
      </c>
      <c r="D86" s="81"/>
      <c r="E86" s="81"/>
      <c r="F86" s="81" t="str">
        <f ca="1">IF($B86="","",IF(SUMIF(Grades!$A:$A,$B$2,Grades!$BO:$BO)=0,"-",IF(AND(VLOOKUP($B$2,Grades!$A:$BV,74,FALSE)="YES",B86&lt;Thresholds_Rates!$C$16),"-",$C86*Thresholds_Rates!$F$15)))</f>
        <v/>
      </c>
      <c r="G86" s="81" t="str">
        <f ca="1">IF(B86="","",IF(OR($B$2="Salary Points 3 to 57",$B$2="Salary Points 3 to 57 (post-pay award)"),"-",IF(SUMIF(Grades!$A:$A,$B$2,Grades!$BP:$BP)=0,"-",$C86*Thresholds_Rates!$F$16)))</f>
        <v/>
      </c>
      <c r="H86" s="81" t="str">
        <f ca="1">IF(B86="","",IF($B$2="Apprenticeship","-",IF(SUMIF(Grades!$A:$A,$B$2,Grades!$BQ:$BQ)=0,"-",IF(AND(VLOOKUP($B$2,Grades!$A:$BW,75,FALSE)="YES",B86&gt;Thresholds_Rates!$C$17),"-",$C86*Thresholds_Rates!$F$17))))</f>
        <v/>
      </c>
      <c r="I86" s="81" t="str">
        <f ca="1">IF($B86="","",IF($C86=0,0,ROUND(($C86-(Thresholds_Rates!$C$5*12))*Thresholds_Rates!$C$10,0)))</f>
        <v/>
      </c>
      <c r="J86" s="81" t="str">
        <f ca="1">IF(B86="","",(C86*Thresholds_Rates!$C$12))</f>
        <v/>
      </c>
      <c r="K86" s="81" t="str">
        <f ca="1">IF(B86="","",IF(SUMIF(Grades!$A:$A,$B$2,Grades!$BR:$BR)=0,"-",IF(AND(VLOOKUP($B$2,Grades!$A:$BW,75,FALSE)="YES",B86&gt;Thresholds_Rates!$C$17),"-",$C86*Thresholds_Rates!$F$18)))</f>
        <v/>
      </c>
      <c r="L86" s="68"/>
      <c r="M86" s="81" t="str">
        <f t="shared" ca="1" si="8"/>
        <v/>
      </c>
      <c r="N86" s="81" t="str">
        <f t="shared" ca="1" si="9"/>
        <v/>
      </c>
      <c r="O86" s="81" t="str">
        <f t="shared" ca="1" si="10"/>
        <v/>
      </c>
      <c r="P86" s="81" t="str">
        <f t="shared" ca="1" si="11"/>
        <v/>
      </c>
      <c r="Q86" s="81" t="str">
        <f t="shared" ca="1" si="12"/>
        <v/>
      </c>
      <c r="S86" s="83" t="str">
        <f ca="1">IF(B86="","",IF($B$2="R&amp;T Level 5 - Clinical Lecturers (Vet School)",SUMIF('Points Lookup'!$V:$V,$B86,'Points Lookup'!$W:$W),IF($B$2="R&amp;T Level 6 - Clinical Associate Professors and Clinical Readers (Vet School)",SUMIF('Points Lookup'!$AC:$AC,$B86,'Points Lookup'!$AD:$AD),"")))</f>
        <v/>
      </c>
      <c r="T86" s="84" t="str">
        <f ca="1">IF(B86="","",IF($B$2="R&amp;T Level 5 - Clinical Lecturers (Vet School)",$C86-SUMIF('Points Lookup'!$V:$V,$B86,'Points Lookup'!$X:$X),IF($B$2="R&amp;T Level 6 - Clinical Associate Professors and Clinical Readers (Vet School)",$C86-SUMIF('Points Lookup'!$AC:$AC,$B86,'Points Lookup'!$AE:$AE),"")))</f>
        <v/>
      </c>
      <c r="U86" s="83" t="str">
        <f ca="1">IF(B86="","",IF($B$2="R&amp;T Level 5 - Clinical Lecturers (Vet School)",SUMIF('Points Lookup'!$V:$V,$B86,'Points Lookup'!$Z:$Z),IF($B$2="R&amp;T Level 6 - Clinical Associate Professors and Clinical Readers (Vet School)",SUMIF('Points Lookup'!$AC:$AC,$B86,'Points Lookup'!$AG:$AG),"")))</f>
        <v/>
      </c>
      <c r="V86" s="84" t="str">
        <f t="shared" ca="1" si="7"/>
        <v/>
      </c>
    </row>
    <row r="87" spans="2:22" x14ac:dyDescent="0.25">
      <c r="B87" s="68" t="str">
        <f ca="1">IFERROR(INDEX('Points Lookup'!$A:$A,MATCH($AA89,'Points Lookup'!$AN:$AN,0)),"")</f>
        <v/>
      </c>
      <c r="C87" s="81" t="str">
        <f ca="1">IF(B87="","",SUMIF(INDIRECT("'Points Lookup'!"&amp;VLOOKUP($B$2,Grades!A:BU,72,FALSE)&amp;":"&amp;VLOOKUP($B$2,Grades!A:BU,72,FALSE)),B87,INDIRECT("'Points Lookup'!"&amp;VLOOKUP($B$2,Grades!A:BU,73,FALSE)&amp;":"&amp;VLOOKUP($B$2,Grades!A:BU,73,FALSE))))</f>
        <v/>
      </c>
      <c r="D87" s="81"/>
      <c r="E87" s="81"/>
      <c r="F87" s="81" t="str">
        <f ca="1">IF($B87="","",IF(SUMIF(Grades!$A:$A,$B$2,Grades!$BO:$BO)=0,"-",IF(AND(VLOOKUP($B$2,Grades!$A:$BV,74,FALSE)="YES",B87&lt;Thresholds_Rates!$C$16),"-",$C87*Thresholds_Rates!$F$15)))</f>
        <v/>
      </c>
      <c r="G87" s="81" t="str">
        <f ca="1">IF(B87="","",IF(OR($B$2="Salary Points 3 to 57",$B$2="Salary Points 3 to 57 (post-pay award)"),"-",IF(SUMIF(Grades!$A:$A,$B$2,Grades!$BP:$BP)=0,"-",$C87*Thresholds_Rates!$F$16)))</f>
        <v/>
      </c>
      <c r="H87" s="81" t="str">
        <f ca="1">IF(B87="","",IF($B$2="Apprenticeship","-",IF(SUMIF(Grades!$A:$A,$B$2,Grades!$BQ:$BQ)=0,"-",IF(AND(VLOOKUP($B$2,Grades!$A:$BW,75,FALSE)="YES",B87&gt;Thresholds_Rates!$C$17),"-",$C87*Thresholds_Rates!$F$17))))</f>
        <v/>
      </c>
      <c r="I87" s="81" t="str">
        <f ca="1">IF($B87="","",IF($C87=0,0,ROUND(($C87-(Thresholds_Rates!$C$5*12))*Thresholds_Rates!$C$10,0)))</f>
        <v/>
      </c>
      <c r="J87" s="81" t="str">
        <f ca="1">IF(B87="","",(C87*Thresholds_Rates!$C$12))</f>
        <v/>
      </c>
      <c r="K87" s="81" t="str">
        <f ca="1">IF(B87="","",IF(SUMIF(Grades!$A:$A,$B$2,Grades!$BR:$BR)=0,"-",IF(AND(VLOOKUP($B$2,Grades!$A:$BW,75,FALSE)="YES",B87&gt;Thresholds_Rates!$C$17),"-",$C87*Thresholds_Rates!$F$18)))</f>
        <v/>
      </c>
      <c r="L87" s="68"/>
      <c r="M87" s="81" t="str">
        <f t="shared" ca="1" si="8"/>
        <v/>
      </c>
      <c r="N87" s="81" t="str">
        <f t="shared" ca="1" si="9"/>
        <v/>
      </c>
      <c r="O87" s="81" t="str">
        <f t="shared" ca="1" si="10"/>
        <v/>
      </c>
      <c r="P87" s="81" t="str">
        <f t="shared" ca="1" si="11"/>
        <v/>
      </c>
      <c r="Q87" s="81" t="str">
        <f t="shared" ca="1" si="12"/>
        <v/>
      </c>
      <c r="S87" s="83" t="str">
        <f ca="1">IF(B87="","",IF($B$2="R&amp;T Level 5 - Clinical Lecturers (Vet School)",SUMIF('Points Lookup'!$V:$V,$B87,'Points Lookup'!$W:$W),IF($B$2="R&amp;T Level 6 - Clinical Associate Professors and Clinical Readers (Vet School)",SUMIF('Points Lookup'!$AC:$AC,$B87,'Points Lookup'!$AD:$AD),"")))</f>
        <v/>
      </c>
      <c r="T87" s="84" t="str">
        <f ca="1">IF(B87="","",IF($B$2="R&amp;T Level 5 - Clinical Lecturers (Vet School)",$C87-SUMIF('Points Lookup'!$V:$V,$B87,'Points Lookup'!$X:$X),IF($B$2="R&amp;T Level 6 - Clinical Associate Professors and Clinical Readers (Vet School)",$C87-SUMIF('Points Lookup'!$AC:$AC,$B87,'Points Lookup'!$AE:$AE),"")))</f>
        <v/>
      </c>
      <c r="U87" s="83" t="str">
        <f ca="1">IF(B87="","",IF($B$2="R&amp;T Level 5 - Clinical Lecturers (Vet School)",SUMIF('Points Lookup'!$V:$V,$B87,'Points Lookup'!$Z:$Z),IF($B$2="R&amp;T Level 6 - Clinical Associate Professors and Clinical Readers (Vet School)",SUMIF('Points Lookup'!$AC:$AC,$B87,'Points Lookup'!$AG:$AG),"")))</f>
        <v/>
      </c>
      <c r="V87" s="84" t="str">
        <f t="shared" ca="1" si="7"/>
        <v/>
      </c>
    </row>
    <row r="88" spans="2:22" x14ac:dyDescent="0.25">
      <c r="B88" s="68" t="str">
        <f ca="1">IFERROR(INDEX('Points Lookup'!$A:$A,MATCH($AA90,'Points Lookup'!$AN:$AN,0)),"")</f>
        <v/>
      </c>
      <c r="C88" s="81" t="str">
        <f ca="1">IF(B88="","",SUMIF(INDIRECT("'Points Lookup'!"&amp;VLOOKUP($B$2,Grades!A:BU,72,FALSE)&amp;":"&amp;VLOOKUP($B$2,Grades!A:BU,72,FALSE)),B88,INDIRECT("'Points Lookup'!"&amp;VLOOKUP($B$2,Grades!A:BU,73,FALSE)&amp;":"&amp;VLOOKUP($B$2,Grades!A:BU,73,FALSE))))</f>
        <v/>
      </c>
      <c r="D88" s="81"/>
      <c r="E88" s="81"/>
      <c r="F88" s="81" t="str">
        <f ca="1">IF($B88="","",IF(SUMIF(Grades!$A:$A,$B$2,Grades!$BO:$BO)=0,"-",IF(AND(VLOOKUP($B$2,Grades!$A:$BV,74,FALSE)="YES",B88&lt;Thresholds_Rates!$C$16),"-",$C88*Thresholds_Rates!$F$15)))</f>
        <v/>
      </c>
      <c r="G88" s="81" t="str">
        <f ca="1">IF(B88="","",IF(OR($B$2="Salary Points 3 to 57",$B$2="Salary Points 3 to 57 (post-pay award)"),"-",IF(SUMIF(Grades!$A:$A,$B$2,Grades!$BP:$BP)=0,"-",$C88*Thresholds_Rates!$F$16)))</f>
        <v/>
      </c>
      <c r="H88" s="81" t="str">
        <f ca="1">IF(B88="","",IF($B$2="Apprenticeship","-",IF(SUMIF(Grades!$A:$A,$B$2,Grades!$BQ:$BQ)=0,"-",IF(AND(VLOOKUP($B$2,Grades!$A:$BW,75,FALSE)="YES",B88&gt;Thresholds_Rates!$C$17),"-",$C88*Thresholds_Rates!$F$17))))</f>
        <v/>
      </c>
      <c r="I88" s="81" t="str">
        <f ca="1">IF($B88="","",IF($C88=0,0,ROUND(($C88-(Thresholds_Rates!$C$5*12))*Thresholds_Rates!$C$10,0)))</f>
        <v/>
      </c>
      <c r="J88" s="81" t="str">
        <f ca="1">IF(B88="","",(C88*Thresholds_Rates!$C$12))</f>
        <v/>
      </c>
      <c r="K88" s="81" t="str">
        <f ca="1">IF(B88="","",IF(SUMIF(Grades!$A:$A,$B$2,Grades!$BR:$BR)=0,"-",IF(AND(VLOOKUP($B$2,Grades!$A:$BW,75,FALSE)="YES",B88&gt;Thresholds_Rates!$C$17),"-",$C88*Thresholds_Rates!$F$18)))</f>
        <v/>
      </c>
      <c r="L88" s="68"/>
      <c r="M88" s="81" t="str">
        <f t="shared" ca="1" si="8"/>
        <v/>
      </c>
      <c r="N88" s="81" t="str">
        <f t="shared" ca="1" si="9"/>
        <v/>
      </c>
      <c r="O88" s="81" t="str">
        <f t="shared" ca="1" si="10"/>
        <v/>
      </c>
      <c r="P88" s="81" t="str">
        <f t="shared" ca="1" si="11"/>
        <v/>
      </c>
      <c r="Q88" s="81" t="str">
        <f t="shared" ca="1" si="12"/>
        <v/>
      </c>
      <c r="S88" s="83" t="str">
        <f ca="1">IF(B88="","",IF($B$2="R&amp;T Level 5 - Clinical Lecturers (Vet School)",SUMIF('Points Lookup'!$V:$V,$B88,'Points Lookup'!$W:$W),IF($B$2="R&amp;T Level 6 - Clinical Associate Professors and Clinical Readers (Vet School)",SUMIF('Points Lookup'!$AC:$AC,$B88,'Points Lookup'!$AD:$AD),"")))</f>
        <v/>
      </c>
      <c r="T88" s="84" t="str">
        <f ca="1">IF(B88="","",IF($B$2="R&amp;T Level 5 - Clinical Lecturers (Vet School)",$C88-SUMIF('Points Lookup'!$V:$V,$B88,'Points Lookup'!$X:$X),IF($B$2="R&amp;T Level 6 - Clinical Associate Professors and Clinical Readers (Vet School)",$C88-SUMIF('Points Lookup'!$AC:$AC,$B88,'Points Lookup'!$AE:$AE),"")))</f>
        <v/>
      </c>
      <c r="U88" s="83" t="str">
        <f ca="1">IF(B88="","",IF($B$2="R&amp;T Level 5 - Clinical Lecturers (Vet School)",SUMIF('Points Lookup'!$V:$V,$B88,'Points Lookup'!$Z:$Z),IF($B$2="R&amp;T Level 6 - Clinical Associate Professors and Clinical Readers (Vet School)",SUMIF('Points Lookup'!$AC:$AC,$B88,'Points Lookup'!$AG:$AG),"")))</f>
        <v/>
      </c>
      <c r="V88" s="84" t="str">
        <f t="shared" ca="1" si="7"/>
        <v/>
      </c>
    </row>
    <row r="89" spans="2:22" x14ac:dyDescent="0.25">
      <c r="B89" s="68" t="str">
        <f ca="1">IFERROR(INDEX('Points Lookup'!$A:$A,MATCH($AA91,'Points Lookup'!$AN:$AN,0)),"")</f>
        <v/>
      </c>
      <c r="C89" s="81" t="str">
        <f ca="1">IF(B89="","",SUMIF(INDIRECT("'Points Lookup'!"&amp;VLOOKUP($B$2,Grades!A:BU,72,FALSE)&amp;":"&amp;VLOOKUP($B$2,Grades!A:BU,72,FALSE)),B89,INDIRECT("'Points Lookup'!"&amp;VLOOKUP($B$2,Grades!A:BU,73,FALSE)&amp;":"&amp;VLOOKUP($B$2,Grades!A:BU,73,FALSE))))</f>
        <v/>
      </c>
      <c r="D89" s="81"/>
      <c r="E89" s="81"/>
      <c r="F89" s="81" t="str">
        <f ca="1">IF($B89="","",IF(SUMIF(Grades!$A:$A,$B$2,Grades!$BO:$BO)=0,"-",IF(AND(VLOOKUP($B$2,Grades!$A:$BV,74,FALSE)="YES",B89&lt;Thresholds_Rates!$C$16),"-",$C89*Thresholds_Rates!$F$15)))</f>
        <v/>
      </c>
      <c r="G89" s="81" t="str">
        <f ca="1">IF(B89="","",IF(OR($B$2="Salary Points 3 to 57",$B$2="Salary Points 3 to 57 (post-pay award)"),"-",IF(SUMIF(Grades!$A:$A,$B$2,Grades!$BP:$BP)=0,"-",$C89*Thresholds_Rates!$F$16)))</f>
        <v/>
      </c>
      <c r="H89" s="81" t="str">
        <f ca="1">IF(B89="","",IF($B$2="Apprenticeship","-",IF(SUMIF(Grades!$A:$A,$B$2,Grades!$BQ:$BQ)=0,"-",IF(AND(VLOOKUP($B$2,Grades!$A:$BW,75,FALSE)="YES",B89&gt;Thresholds_Rates!$C$17),"-",$C89*Thresholds_Rates!$F$17))))</f>
        <v/>
      </c>
      <c r="I89" s="81" t="str">
        <f ca="1">IF($B89="","",IF($C89=0,0,ROUND(($C89-(Thresholds_Rates!$C$5*12))*Thresholds_Rates!$C$10,0)))</f>
        <v/>
      </c>
      <c r="J89" s="81" t="str">
        <f ca="1">IF(B89="","",(C89*Thresholds_Rates!$C$12))</f>
        <v/>
      </c>
      <c r="K89" s="81" t="str">
        <f ca="1">IF(B89="","",IF(SUMIF(Grades!$A:$A,$B$2,Grades!$BR:$BR)=0,"-",IF(AND(VLOOKUP($B$2,Grades!$A:$BW,75,FALSE)="YES",B89&gt;Thresholds_Rates!$C$17),"-",$C89*Thresholds_Rates!$F$18)))</f>
        <v/>
      </c>
      <c r="L89" s="68"/>
      <c r="M89" s="81" t="str">
        <f t="shared" ca="1" si="8"/>
        <v/>
      </c>
      <c r="N89" s="81" t="str">
        <f t="shared" ca="1" si="9"/>
        <v/>
      </c>
      <c r="O89" s="81" t="str">
        <f t="shared" ca="1" si="10"/>
        <v/>
      </c>
      <c r="P89" s="81" t="str">
        <f t="shared" ca="1" si="11"/>
        <v/>
      </c>
      <c r="Q89" s="81" t="str">
        <f t="shared" ca="1" si="12"/>
        <v/>
      </c>
      <c r="S89" s="83" t="str">
        <f ca="1">IF(B89="","",IF($B$2="R&amp;T Level 5 - Clinical Lecturers (Vet School)",SUMIF('Points Lookup'!$V:$V,$B89,'Points Lookup'!$W:$W),IF($B$2="R&amp;T Level 6 - Clinical Associate Professors and Clinical Readers (Vet School)",SUMIF('Points Lookup'!$AC:$AC,$B89,'Points Lookup'!$AD:$AD),"")))</f>
        <v/>
      </c>
      <c r="T89" s="84" t="str">
        <f ca="1">IF(B89="","",IF($B$2="R&amp;T Level 5 - Clinical Lecturers (Vet School)",$C89-SUMIF('Points Lookup'!$V:$V,$B89,'Points Lookup'!$X:$X),IF($B$2="R&amp;T Level 6 - Clinical Associate Professors and Clinical Readers (Vet School)",$C89-SUMIF('Points Lookup'!$AC:$AC,$B89,'Points Lookup'!$AE:$AE),"")))</f>
        <v/>
      </c>
      <c r="U89" s="83" t="str">
        <f ca="1">IF(B89="","",IF($B$2="R&amp;T Level 5 - Clinical Lecturers (Vet School)",SUMIF('Points Lookup'!$V:$V,$B89,'Points Lookup'!$Z:$Z),IF($B$2="R&amp;T Level 6 - Clinical Associate Professors and Clinical Readers (Vet School)",SUMIF('Points Lookup'!$AC:$AC,$B89,'Points Lookup'!$AG:$AG),"")))</f>
        <v/>
      </c>
      <c r="V89" s="84" t="str">
        <f t="shared" ca="1" si="7"/>
        <v/>
      </c>
    </row>
    <row r="90" spans="2:22" x14ac:dyDescent="0.25">
      <c r="B90" s="68" t="str">
        <f ca="1">IFERROR(INDEX('Points Lookup'!$A:$A,MATCH($AA92,'Points Lookup'!$AN:$AN,0)),"")</f>
        <v/>
      </c>
      <c r="C90" s="81" t="str">
        <f ca="1">IF(B90="","",SUMIF(INDIRECT("'Points Lookup'!"&amp;VLOOKUP($B$2,Grades!A:BU,72,FALSE)&amp;":"&amp;VLOOKUP($B$2,Grades!A:BU,72,FALSE)),B90,INDIRECT("'Points Lookup'!"&amp;VLOOKUP($B$2,Grades!A:BU,73,FALSE)&amp;":"&amp;VLOOKUP($B$2,Grades!A:BU,73,FALSE))))</f>
        <v/>
      </c>
      <c r="D90" s="81"/>
      <c r="E90" s="81"/>
      <c r="F90" s="81" t="str">
        <f ca="1">IF($B90="","",IF(SUMIF(Grades!$A:$A,$B$2,Grades!$BO:$BO)=0,"-",IF(AND(VLOOKUP($B$2,Grades!$A:$BV,74,FALSE)="YES",B90&lt;Thresholds_Rates!$C$16),"-",$C90*Thresholds_Rates!$F$15)))</f>
        <v/>
      </c>
      <c r="G90" s="81" t="str">
        <f ca="1">IF(B90="","",IF(OR($B$2="Salary Points 3 to 57",$B$2="Salary Points 3 to 57 (post-pay award)"),"-",IF(SUMIF(Grades!$A:$A,$B$2,Grades!$BP:$BP)=0,"-",$C90*Thresholds_Rates!$F$16)))</f>
        <v/>
      </c>
      <c r="H90" s="81" t="str">
        <f ca="1">IF(B90="","",IF($B$2="Apprenticeship","-",IF(SUMIF(Grades!$A:$A,$B$2,Grades!$BQ:$BQ)=0,"-",IF(AND(VLOOKUP($B$2,Grades!$A:$BW,75,FALSE)="YES",B90&gt;Thresholds_Rates!$C$17),"-",$C90*Thresholds_Rates!$F$17))))</f>
        <v/>
      </c>
      <c r="I90" s="81" t="str">
        <f ca="1">IF($B90="","",IF($C90=0,0,ROUND(($C90-(Thresholds_Rates!$C$5*12))*Thresholds_Rates!$C$10,0)))</f>
        <v/>
      </c>
      <c r="J90" s="81" t="str">
        <f ca="1">IF(B90="","",(C90*Thresholds_Rates!$C$12))</f>
        <v/>
      </c>
      <c r="K90" s="81" t="str">
        <f ca="1">IF(B90="","",IF(SUMIF(Grades!$A:$A,$B$2,Grades!$BR:$BR)=0,"-",IF(AND(VLOOKUP($B$2,Grades!$A:$BW,75,FALSE)="YES",B90&gt;Thresholds_Rates!$C$17),"-",$C90*Thresholds_Rates!$F$18)))</f>
        <v/>
      </c>
      <c r="L90" s="68"/>
      <c r="M90" s="81" t="str">
        <f t="shared" ca="1" si="8"/>
        <v/>
      </c>
      <c r="N90" s="81" t="str">
        <f t="shared" ca="1" si="9"/>
        <v/>
      </c>
      <c r="O90" s="81" t="str">
        <f t="shared" ca="1" si="10"/>
        <v/>
      </c>
      <c r="P90" s="81" t="str">
        <f t="shared" ca="1" si="11"/>
        <v/>
      </c>
      <c r="Q90" s="81" t="str">
        <f t="shared" ca="1" si="12"/>
        <v/>
      </c>
      <c r="S90" s="83" t="str">
        <f ca="1">IF(B90="","",IF($B$2="R&amp;T Level 5 - Clinical Lecturers (Vet School)",SUMIF('Points Lookup'!$V:$V,$B90,'Points Lookup'!$W:$W),IF($B$2="R&amp;T Level 6 - Clinical Associate Professors and Clinical Readers (Vet School)",SUMIF('Points Lookup'!$AC:$AC,$B90,'Points Lookup'!$AD:$AD),"")))</f>
        <v/>
      </c>
      <c r="T90" s="84" t="str">
        <f ca="1">IF(B90="","",IF($B$2="R&amp;T Level 5 - Clinical Lecturers (Vet School)",$C90-SUMIF('Points Lookup'!$V:$V,$B90,'Points Lookup'!$X:$X),IF($B$2="R&amp;T Level 6 - Clinical Associate Professors and Clinical Readers (Vet School)",$C90-SUMIF('Points Lookup'!$AC:$AC,$B90,'Points Lookup'!$AE:$AE),"")))</f>
        <v/>
      </c>
      <c r="U90" s="83" t="str">
        <f ca="1">IF(B90="","",IF($B$2="R&amp;T Level 5 - Clinical Lecturers (Vet School)",SUMIF('Points Lookup'!$V:$V,$B90,'Points Lookup'!$Z:$Z),IF($B$2="R&amp;T Level 6 - Clinical Associate Professors and Clinical Readers (Vet School)",SUMIF('Points Lookup'!$AC:$AC,$B90,'Points Lookup'!$AG:$AG),"")))</f>
        <v/>
      </c>
      <c r="V90" s="84" t="str">
        <f t="shared" ca="1" si="7"/>
        <v/>
      </c>
    </row>
    <row r="91" spans="2:22" x14ac:dyDescent="0.25">
      <c r="B91" s="68" t="str">
        <f ca="1">IFERROR(INDEX('Points Lookup'!$A:$A,MATCH($AA93,'Points Lookup'!$AN:$AN,0)),"")</f>
        <v/>
      </c>
      <c r="C91" s="81" t="str">
        <f ca="1">IF(B91="","",SUMIF(INDIRECT("'Points Lookup'!"&amp;VLOOKUP($B$2,Grades!A:BU,72,FALSE)&amp;":"&amp;VLOOKUP($B$2,Grades!A:BU,72,FALSE)),B91,INDIRECT("'Points Lookup'!"&amp;VLOOKUP($B$2,Grades!A:BU,73,FALSE)&amp;":"&amp;VLOOKUP($B$2,Grades!A:BU,73,FALSE))))</f>
        <v/>
      </c>
      <c r="D91" s="81"/>
      <c r="E91" s="81"/>
      <c r="F91" s="81" t="str">
        <f ca="1">IF($B91="","",IF(SUMIF(Grades!$A:$A,$B$2,Grades!$BO:$BO)=0,"-",IF(AND(VLOOKUP($B$2,Grades!$A:$BV,74,FALSE)="YES",B91&lt;Thresholds_Rates!$C$16),"-",$C91*Thresholds_Rates!$F$15)))</f>
        <v/>
      </c>
      <c r="G91" s="81" t="str">
        <f ca="1">IF(B91="","",IF(OR($B$2="Salary Points 3 to 57",$B$2="Salary Points 3 to 57 (post-pay award)"),"-",IF(SUMIF(Grades!$A:$A,$B$2,Grades!$BP:$BP)=0,"-",$C91*Thresholds_Rates!$F$16)))</f>
        <v/>
      </c>
      <c r="H91" s="81" t="str">
        <f ca="1">IF(B91="","",IF($B$2="Apprenticeship","-",IF(SUMIF(Grades!$A:$A,$B$2,Grades!$BQ:$BQ)=0,"-",IF(AND(VLOOKUP($B$2,Grades!$A:$BW,75,FALSE)="YES",B91&gt;Thresholds_Rates!$C$17),"-",$C91*Thresholds_Rates!$F$17))))</f>
        <v/>
      </c>
      <c r="I91" s="81" t="str">
        <f ca="1">IF($B91="","",IF($C91=0,0,ROUND(($C91-(Thresholds_Rates!$C$5*12))*Thresholds_Rates!$C$10,0)))</f>
        <v/>
      </c>
      <c r="J91" s="81" t="str">
        <f ca="1">IF(B91="","",(C91*Thresholds_Rates!$C$12))</f>
        <v/>
      </c>
      <c r="K91" s="81" t="str">
        <f ca="1">IF(B91="","",IF(SUMIF(Grades!$A:$A,$B$2,Grades!$BR:$BR)=0,"-",IF(AND(VLOOKUP($B$2,Grades!$A:$BW,75,FALSE)="YES",B91&gt;Thresholds_Rates!$C$17),"-",$C91*Thresholds_Rates!$F$18)))</f>
        <v/>
      </c>
      <c r="L91" s="68"/>
      <c r="M91" s="81" t="str">
        <f t="shared" ca="1" si="8"/>
        <v/>
      </c>
      <c r="N91" s="81" t="str">
        <f t="shared" ca="1" si="9"/>
        <v/>
      </c>
      <c r="O91" s="81" t="str">
        <f t="shared" ca="1" si="10"/>
        <v/>
      </c>
      <c r="P91" s="81" t="str">
        <f t="shared" ca="1" si="11"/>
        <v/>
      </c>
      <c r="Q91" s="81" t="str">
        <f t="shared" ca="1" si="12"/>
        <v/>
      </c>
      <c r="S91" s="83" t="str">
        <f ca="1">IF(B91="","",IF($B$2="R&amp;T Level 5 - Clinical Lecturers (Vet School)",SUMIF('Points Lookup'!$V:$V,$B91,'Points Lookup'!$W:$W),IF($B$2="R&amp;T Level 6 - Clinical Associate Professors and Clinical Readers (Vet School)",SUMIF('Points Lookup'!$AC:$AC,$B91,'Points Lookup'!$AD:$AD),"")))</f>
        <v/>
      </c>
      <c r="T91" s="84" t="str">
        <f ca="1">IF(B91="","",IF($B$2="R&amp;T Level 5 - Clinical Lecturers (Vet School)",$C91-SUMIF('Points Lookup'!$V:$V,$B91,'Points Lookup'!$X:$X),IF($B$2="R&amp;T Level 6 - Clinical Associate Professors and Clinical Readers (Vet School)",$C91-SUMIF('Points Lookup'!$AC:$AC,$B91,'Points Lookup'!$AE:$AE),"")))</f>
        <v/>
      </c>
      <c r="U91" s="83" t="str">
        <f ca="1">IF(B91="","",IF($B$2="R&amp;T Level 5 - Clinical Lecturers (Vet School)",SUMIF('Points Lookup'!$V:$V,$B91,'Points Lookup'!$Z:$Z),IF($B$2="R&amp;T Level 6 - Clinical Associate Professors and Clinical Readers (Vet School)",SUMIF('Points Lookup'!$AC:$AC,$B91,'Points Lookup'!$AG:$AG),"")))</f>
        <v/>
      </c>
      <c r="V91" s="84" t="str">
        <f t="shared" ca="1" si="7"/>
        <v/>
      </c>
    </row>
    <row r="92" spans="2:22" x14ac:dyDescent="0.25">
      <c r="B92" s="68" t="str">
        <f ca="1">IFERROR(INDEX('Points Lookup'!$A:$A,MATCH($AA94,'Points Lookup'!$AN:$AN,0)),"")</f>
        <v/>
      </c>
      <c r="C92" s="81" t="str">
        <f ca="1">IF(B92="","",SUMIF(INDIRECT("'Points Lookup'!"&amp;VLOOKUP($B$2,Grades!A:BU,72,FALSE)&amp;":"&amp;VLOOKUP($B$2,Grades!A:BU,72,FALSE)),B92,INDIRECT("'Points Lookup'!"&amp;VLOOKUP($B$2,Grades!A:BU,73,FALSE)&amp;":"&amp;VLOOKUP($B$2,Grades!A:BU,73,FALSE))))</f>
        <v/>
      </c>
      <c r="D92" s="81"/>
      <c r="E92" s="81"/>
      <c r="F92" s="81" t="str">
        <f ca="1">IF($B92="","",IF(SUMIF(Grades!$A:$A,$B$2,Grades!$BO:$BO)=0,"-",IF(AND(VLOOKUP($B$2,Grades!$A:$BV,74,FALSE)="YES",B92&lt;Thresholds_Rates!$C$16),"-",$C92*Thresholds_Rates!$F$15)))</f>
        <v/>
      </c>
      <c r="G92" s="81" t="str">
        <f ca="1">IF(B92="","",IF(OR($B$2="Salary Points 3 to 57",$B$2="Salary Points 3 to 57 (post-pay award)"),"-",IF(SUMIF(Grades!$A:$A,$B$2,Grades!$BP:$BP)=0,"-",$C92*Thresholds_Rates!$F$16)))</f>
        <v/>
      </c>
      <c r="H92" s="81" t="str">
        <f ca="1">IF(B92="","",IF($B$2="Apprenticeship","-",IF(SUMIF(Grades!$A:$A,$B$2,Grades!$BQ:$BQ)=0,"-",IF(AND(VLOOKUP($B$2,Grades!$A:$BW,75,FALSE)="YES",B92&gt;Thresholds_Rates!$C$17),"-",$C92*Thresholds_Rates!$F$17))))</f>
        <v/>
      </c>
      <c r="I92" s="81" t="str">
        <f ca="1">IF($B92="","",IF($C92=0,0,ROUND(($C92-(Thresholds_Rates!$C$5*12))*Thresholds_Rates!$C$10,0)))</f>
        <v/>
      </c>
      <c r="J92" s="81" t="str">
        <f ca="1">IF(B92="","",(C92*Thresholds_Rates!$C$12))</f>
        <v/>
      </c>
      <c r="K92" s="81" t="str">
        <f ca="1">IF(B92="","",IF(SUMIF(Grades!$A:$A,$B$2,Grades!$BR:$BR)=0,"-",IF(AND(VLOOKUP($B$2,Grades!$A:$BW,75,FALSE)="YES",B92&gt;Thresholds_Rates!$C$17),"-",$C92*Thresholds_Rates!$F$18)))</f>
        <v/>
      </c>
      <c r="L92" s="68"/>
      <c r="M92" s="81" t="str">
        <f t="shared" ca="1" si="8"/>
        <v/>
      </c>
      <c r="N92" s="81" t="str">
        <f t="shared" ca="1" si="9"/>
        <v/>
      </c>
      <c r="O92" s="81" t="str">
        <f t="shared" ca="1" si="10"/>
        <v/>
      </c>
      <c r="P92" s="81" t="str">
        <f t="shared" ca="1" si="11"/>
        <v/>
      </c>
      <c r="Q92" s="81" t="str">
        <f t="shared" ca="1" si="12"/>
        <v/>
      </c>
      <c r="S92" s="83" t="str">
        <f ca="1">IF(B92="","",IF($B$2="R&amp;T Level 5 - Clinical Lecturers (Vet School)",SUMIF('Points Lookup'!$V:$V,$B92,'Points Lookup'!$W:$W),IF($B$2="R&amp;T Level 6 - Clinical Associate Professors and Clinical Readers (Vet School)",SUMIF('Points Lookup'!$AC:$AC,$B92,'Points Lookup'!$AD:$AD),"")))</f>
        <v/>
      </c>
      <c r="T92" s="84" t="str">
        <f ca="1">IF(B92="","",IF($B$2="R&amp;T Level 5 - Clinical Lecturers (Vet School)",$C92-SUMIF('Points Lookup'!$V:$V,$B92,'Points Lookup'!$X:$X),IF($B$2="R&amp;T Level 6 - Clinical Associate Professors and Clinical Readers (Vet School)",$C92-SUMIF('Points Lookup'!$AC:$AC,$B92,'Points Lookup'!$AE:$AE),"")))</f>
        <v/>
      </c>
      <c r="U92" s="83" t="str">
        <f ca="1">IF(B92="","",IF($B$2="R&amp;T Level 5 - Clinical Lecturers (Vet School)",SUMIF('Points Lookup'!$V:$V,$B92,'Points Lookup'!$Z:$Z),IF($B$2="R&amp;T Level 6 - Clinical Associate Professors and Clinical Readers (Vet School)",SUMIF('Points Lookup'!$AC:$AC,$B92,'Points Lookup'!$AG:$AG),"")))</f>
        <v/>
      </c>
      <c r="V92" s="84" t="str">
        <f t="shared" ca="1" si="7"/>
        <v/>
      </c>
    </row>
    <row r="93" spans="2:22" x14ac:dyDescent="0.25">
      <c r="B93" s="68" t="str">
        <f ca="1">IFERROR(INDEX('Points Lookup'!$A:$A,MATCH($AA95,'Points Lookup'!$AN:$AN,0)),"")</f>
        <v/>
      </c>
      <c r="C93" s="81" t="str">
        <f ca="1">IF(B93="","",SUMIF(INDIRECT("'Points Lookup'!"&amp;VLOOKUP($B$2,Grades!A:BU,72,FALSE)&amp;":"&amp;VLOOKUP($B$2,Grades!A:BU,72,FALSE)),B93,INDIRECT("'Points Lookup'!"&amp;VLOOKUP($B$2,Grades!A:BU,73,FALSE)&amp;":"&amp;VLOOKUP($B$2,Grades!A:BU,73,FALSE))))</f>
        <v/>
      </c>
      <c r="D93" s="81"/>
      <c r="E93" s="81"/>
      <c r="F93" s="81" t="str">
        <f ca="1">IF($B93="","",IF(SUMIF(Grades!$A:$A,$B$2,Grades!$BO:$BO)=0,"-",IF(AND(VLOOKUP($B$2,Grades!$A:$BV,74,FALSE)="YES",B93&lt;Thresholds_Rates!$C$16),"-",$C93*Thresholds_Rates!$F$15)))</f>
        <v/>
      </c>
      <c r="G93" s="81" t="str">
        <f ca="1">IF(B93="","",IF(OR($B$2="Salary Points 3 to 57",$B$2="Salary Points 3 to 57 (post-pay award)"),"-",IF(SUMIF(Grades!$A:$A,$B$2,Grades!$BP:$BP)=0,"-",$C93*Thresholds_Rates!$F$16)))</f>
        <v/>
      </c>
      <c r="H93" s="81" t="str">
        <f ca="1">IF(B93="","",IF($B$2="Apprenticeship","-",IF(SUMIF(Grades!$A:$A,$B$2,Grades!$BQ:$BQ)=0,"-",IF(AND(VLOOKUP($B$2,Grades!$A:$BW,75,FALSE)="YES",B93&gt;Thresholds_Rates!$C$17),"-",$C93*Thresholds_Rates!$F$17))))</f>
        <v/>
      </c>
      <c r="I93" s="81" t="str">
        <f ca="1">IF($B93="","",IF($C93=0,0,ROUND(($C93-(Thresholds_Rates!$C$5*12))*Thresholds_Rates!$C$10,0)))</f>
        <v/>
      </c>
      <c r="J93" s="81" t="str">
        <f ca="1">IF(B93="","",(C93*Thresholds_Rates!$C$12))</f>
        <v/>
      </c>
      <c r="K93" s="81" t="str">
        <f ca="1">IF(B93="","",IF(SUMIF(Grades!$A:$A,$B$2,Grades!$BR:$BR)=0,"-",IF(AND(VLOOKUP($B$2,Grades!$A:$BW,75,FALSE)="YES",B93&gt;Thresholds_Rates!$C$17),"-",$C93*Thresholds_Rates!$F$18)))</f>
        <v/>
      </c>
      <c r="L93" s="68"/>
      <c r="M93" s="81" t="str">
        <f t="shared" ca="1" si="8"/>
        <v/>
      </c>
      <c r="N93" s="81" t="str">
        <f t="shared" ca="1" si="9"/>
        <v/>
      </c>
      <c r="O93" s="81" t="str">
        <f t="shared" ca="1" si="10"/>
        <v/>
      </c>
      <c r="P93" s="81" t="str">
        <f t="shared" ca="1" si="11"/>
        <v/>
      </c>
      <c r="Q93" s="81" t="str">
        <f t="shared" ca="1" si="12"/>
        <v/>
      </c>
      <c r="S93" s="83" t="str">
        <f ca="1">IF(B93="","",IF($B$2="R&amp;T Level 5 - Clinical Lecturers (Vet School)",SUMIF('Points Lookup'!$V:$V,$B93,'Points Lookup'!$W:$W),IF($B$2="R&amp;T Level 6 - Clinical Associate Professors and Clinical Readers (Vet School)",SUMIF('Points Lookup'!$AC:$AC,$B93,'Points Lookup'!$AD:$AD),"")))</f>
        <v/>
      </c>
      <c r="T93" s="84" t="str">
        <f ca="1">IF(B93="","",IF($B$2="R&amp;T Level 5 - Clinical Lecturers (Vet School)",$C93-SUMIF('Points Lookup'!$V:$V,$B93,'Points Lookup'!$X:$X),IF($B$2="R&amp;T Level 6 - Clinical Associate Professors and Clinical Readers (Vet School)",$C93-SUMIF('Points Lookup'!$AC:$AC,$B93,'Points Lookup'!$AE:$AE),"")))</f>
        <v/>
      </c>
      <c r="U93" s="83" t="str">
        <f ca="1">IF(B93="","",IF($B$2="R&amp;T Level 5 - Clinical Lecturers (Vet School)",SUMIF('Points Lookup'!$V:$V,$B93,'Points Lookup'!$Z:$Z),IF($B$2="R&amp;T Level 6 - Clinical Associate Professors and Clinical Readers (Vet School)",SUMIF('Points Lookup'!$AC:$AC,$B93,'Points Lookup'!$AG:$AG),"")))</f>
        <v/>
      </c>
      <c r="V93" s="84" t="str">
        <f t="shared" ca="1" si="7"/>
        <v/>
      </c>
    </row>
    <row r="94" spans="2:22" x14ac:dyDescent="0.25">
      <c r="B94" s="68" t="str">
        <f ca="1">IFERROR(INDEX('Points Lookup'!$A:$A,MATCH($AA96,'Points Lookup'!$AN:$AN,0)),"")</f>
        <v/>
      </c>
      <c r="C94" s="81" t="str">
        <f ca="1">IF(B94="","",SUMIF(INDIRECT("'Points Lookup'!"&amp;VLOOKUP($B$2,Grades!A:BU,72,FALSE)&amp;":"&amp;VLOOKUP($B$2,Grades!A:BU,72,FALSE)),B94,INDIRECT("'Points Lookup'!"&amp;VLOOKUP($B$2,Grades!A:BU,73,FALSE)&amp;":"&amp;VLOOKUP($B$2,Grades!A:BU,73,FALSE))))</f>
        <v/>
      </c>
      <c r="D94" s="81"/>
      <c r="E94" s="81"/>
      <c r="F94" s="81" t="str">
        <f ca="1">IF($B94="","",IF(SUMIF(Grades!$A:$A,$B$2,Grades!$BO:$BO)=0,"-",IF(AND(VLOOKUP($B$2,Grades!$A:$BV,74,FALSE)="YES",B94&lt;Thresholds_Rates!$C$16),"-",$C94*Thresholds_Rates!$F$15)))</f>
        <v/>
      </c>
      <c r="G94" s="81" t="str">
        <f ca="1">IF(B94="","",IF(OR($B$2="Salary Points 3 to 57",$B$2="Salary Points 3 to 57 (post-pay award)"),"-",IF(SUMIF(Grades!$A:$A,$B$2,Grades!$BP:$BP)=0,"-",$C94*Thresholds_Rates!$F$16)))</f>
        <v/>
      </c>
      <c r="H94" s="81" t="str">
        <f ca="1">IF(B94="","",IF($B$2="Apprenticeship","-",IF(SUMIF(Grades!$A:$A,$B$2,Grades!$BQ:$BQ)=0,"-",IF(AND(VLOOKUP($B$2,Grades!$A:$BW,75,FALSE)="YES",B94&gt;Thresholds_Rates!$C$17),"-",$C94*Thresholds_Rates!$F$17))))</f>
        <v/>
      </c>
      <c r="I94" s="81" t="str">
        <f ca="1">IF($B94="","",IF($C94=0,0,ROUND(($C94-(Thresholds_Rates!$C$5*12))*Thresholds_Rates!$C$10,0)))</f>
        <v/>
      </c>
      <c r="J94" s="81" t="str">
        <f ca="1">IF(B94="","",(C94*Thresholds_Rates!$C$12))</f>
        <v/>
      </c>
      <c r="K94" s="81" t="str">
        <f ca="1">IF(B94="","",IF(SUMIF(Grades!$A:$A,$B$2,Grades!$BR:$BR)=0,"-",IF(AND(VLOOKUP($B$2,Grades!$A:$BW,75,FALSE)="YES",B94&gt;Thresholds_Rates!$C$17),"-",$C94*Thresholds_Rates!$F$18)))</f>
        <v/>
      </c>
      <c r="L94" s="68"/>
      <c r="M94" s="81" t="str">
        <f t="shared" ca="1" si="8"/>
        <v/>
      </c>
      <c r="N94" s="81" t="str">
        <f t="shared" ca="1" si="9"/>
        <v/>
      </c>
      <c r="O94" s="81" t="str">
        <f t="shared" ca="1" si="10"/>
        <v/>
      </c>
      <c r="P94" s="81" t="str">
        <f t="shared" ca="1" si="11"/>
        <v/>
      </c>
      <c r="Q94" s="81" t="str">
        <f t="shared" ca="1" si="12"/>
        <v/>
      </c>
      <c r="S94" s="83" t="str">
        <f ca="1">IF(B94="","",IF($B$2="R&amp;T Level 5 - Clinical Lecturers (Vet School)",SUMIF('Points Lookup'!$V:$V,$B94,'Points Lookup'!$W:$W),IF($B$2="R&amp;T Level 6 - Clinical Associate Professors and Clinical Readers (Vet School)",SUMIF('Points Lookup'!$AC:$AC,$B94,'Points Lookup'!$AD:$AD),"")))</f>
        <v/>
      </c>
      <c r="T94" s="84" t="str">
        <f ca="1">IF(B94="","",IF($B$2="R&amp;T Level 5 - Clinical Lecturers (Vet School)",$C94-SUMIF('Points Lookup'!$V:$V,$B94,'Points Lookup'!$X:$X),IF($B$2="R&amp;T Level 6 - Clinical Associate Professors and Clinical Readers (Vet School)",$C94-SUMIF('Points Lookup'!$AC:$AC,$B94,'Points Lookup'!$AE:$AE),"")))</f>
        <v/>
      </c>
      <c r="U94" s="83" t="str">
        <f ca="1">IF(B94="","",IF($B$2="R&amp;T Level 5 - Clinical Lecturers (Vet School)",SUMIF('Points Lookup'!$V:$V,$B94,'Points Lookup'!$Z:$Z),IF($B$2="R&amp;T Level 6 - Clinical Associate Professors and Clinical Readers (Vet School)",SUMIF('Points Lookup'!$AC:$AC,$B94,'Points Lookup'!$AG:$AG),"")))</f>
        <v/>
      </c>
      <c r="V94" s="84" t="str">
        <f t="shared" ca="1" si="7"/>
        <v/>
      </c>
    </row>
    <row r="95" spans="2:22" x14ac:dyDescent="0.25">
      <c r="B95" s="68" t="str">
        <f ca="1">IFERROR(INDEX('Points Lookup'!$A:$A,MATCH($AA97,'Points Lookup'!$AN:$AN,0)),"")</f>
        <v/>
      </c>
      <c r="C95" s="81" t="str">
        <f ca="1">IF(B95="","",SUMIF(INDIRECT("'Points Lookup'!"&amp;VLOOKUP($B$2,Grades!A:BU,72,FALSE)&amp;":"&amp;VLOOKUP($B$2,Grades!A:BU,72,FALSE)),B95,INDIRECT("'Points Lookup'!"&amp;VLOOKUP($B$2,Grades!A:BU,73,FALSE)&amp;":"&amp;VLOOKUP($B$2,Grades!A:BU,73,FALSE))))</f>
        <v/>
      </c>
      <c r="D95" s="81"/>
      <c r="E95" s="81"/>
      <c r="F95" s="81" t="str">
        <f ca="1">IF($B95="","",IF(SUMIF(Grades!$A:$A,$B$2,Grades!$BO:$BO)=0,"-",IF(AND(VLOOKUP($B$2,Grades!$A:$BV,74,FALSE)="YES",B95&lt;Thresholds_Rates!$C$16),"-",$C95*Thresholds_Rates!$F$15)))</f>
        <v/>
      </c>
      <c r="G95" s="81" t="str">
        <f ca="1">IF(B95="","",IF(OR($B$2="Salary Points 3 to 57",$B$2="Salary Points 3 to 57 (post-pay award)"),"-",IF(SUMIF(Grades!$A:$A,$B$2,Grades!$BP:$BP)=0,"-",$C95*Thresholds_Rates!$F$16)))</f>
        <v/>
      </c>
      <c r="H95" s="81" t="str">
        <f ca="1">IF(B95="","",IF($B$2="Apprenticeship","-",IF(SUMIF(Grades!$A:$A,$B$2,Grades!$BQ:$BQ)=0,"-",IF(AND(VLOOKUP($B$2,Grades!$A:$BW,75,FALSE)="YES",B95&gt;Thresholds_Rates!$C$17),"-",$C95*Thresholds_Rates!$F$17))))</f>
        <v/>
      </c>
      <c r="I95" s="81" t="str">
        <f ca="1">IF($B95="","",IF($C95=0,0,ROUND(($C95-(Thresholds_Rates!$C$5*12))*Thresholds_Rates!$C$10,0)))</f>
        <v/>
      </c>
      <c r="J95" s="81" t="str">
        <f ca="1">IF(B95="","",(C95*Thresholds_Rates!$C$12))</f>
        <v/>
      </c>
      <c r="K95" s="81" t="str">
        <f ca="1">IF(B95="","",IF(SUMIF(Grades!$A:$A,$B$2,Grades!$BR:$BR)=0,"-",IF(AND(VLOOKUP($B$2,Grades!$A:$BW,75,FALSE)="YES",B95&gt;Thresholds_Rates!$C$17),"-",$C95*Thresholds_Rates!$F$18)))</f>
        <v/>
      </c>
      <c r="L95" s="68"/>
      <c r="M95" s="81" t="str">
        <f t="shared" ca="1" si="8"/>
        <v/>
      </c>
      <c r="N95" s="81" t="str">
        <f t="shared" ca="1" si="9"/>
        <v/>
      </c>
      <c r="O95" s="81" t="str">
        <f t="shared" ca="1" si="10"/>
        <v/>
      </c>
      <c r="P95" s="81" t="str">
        <f t="shared" ca="1" si="11"/>
        <v/>
      </c>
      <c r="Q95" s="81" t="str">
        <f t="shared" ca="1" si="12"/>
        <v/>
      </c>
      <c r="S95" s="83" t="str">
        <f ca="1">IF(B95="","",IF($B$2="R&amp;T Level 5 - Clinical Lecturers (Vet School)",SUMIF('Points Lookup'!$V:$V,$B95,'Points Lookup'!$W:$W),IF($B$2="R&amp;T Level 6 - Clinical Associate Professors and Clinical Readers (Vet School)",SUMIF('Points Lookup'!$AC:$AC,$B95,'Points Lookup'!$AD:$AD),"")))</f>
        <v/>
      </c>
      <c r="T95" s="84" t="str">
        <f ca="1">IF(B95="","",IF($B$2="R&amp;T Level 5 - Clinical Lecturers (Vet School)",$C95-SUMIF('Points Lookup'!$V:$V,$B95,'Points Lookup'!$X:$X),IF($B$2="R&amp;T Level 6 - Clinical Associate Professors and Clinical Readers (Vet School)",$C95-SUMIF('Points Lookup'!$AC:$AC,$B95,'Points Lookup'!$AE:$AE),"")))</f>
        <v/>
      </c>
      <c r="U95" s="83" t="str">
        <f ca="1">IF(B95="","",IF($B$2="R&amp;T Level 5 - Clinical Lecturers (Vet School)",SUMIF('Points Lookup'!$V:$V,$B95,'Points Lookup'!$Z:$Z),IF($B$2="R&amp;T Level 6 - Clinical Associate Professors and Clinical Readers (Vet School)",SUMIF('Points Lookup'!$AC:$AC,$B95,'Points Lookup'!$AG:$AG),"")))</f>
        <v/>
      </c>
      <c r="V95" s="84" t="str">
        <f t="shared" ca="1" si="7"/>
        <v/>
      </c>
    </row>
    <row r="96" spans="2:22" x14ac:dyDescent="0.25">
      <c r="B96" s="68" t="str">
        <f ca="1">IFERROR(INDEX('Points Lookup'!$A:$A,MATCH($AA98,'Points Lookup'!$AN:$AN,0)),"")</f>
        <v/>
      </c>
      <c r="C96" s="81" t="str">
        <f ca="1">IF(B96="","",SUMIF(INDIRECT("'Points Lookup'!"&amp;VLOOKUP($B$2,Grades!A:BU,72,FALSE)&amp;":"&amp;VLOOKUP($B$2,Grades!A:BU,72,FALSE)),B96,INDIRECT("'Points Lookup'!"&amp;VLOOKUP($B$2,Grades!A:BU,73,FALSE)&amp;":"&amp;VLOOKUP($B$2,Grades!A:BU,73,FALSE))))</f>
        <v/>
      </c>
      <c r="D96" s="81"/>
      <c r="E96" s="81"/>
      <c r="F96" s="81" t="str">
        <f ca="1">IF($B96="","",IF(SUMIF(Grades!$A:$A,$B$2,Grades!$BO:$BO)=0,"-",IF(AND(VLOOKUP($B$2,Grades!$A:$BV,74,FALSE)="YES",B96&lt;Thresholds_Rates!$C$16),"-",$C96*Thresholds_Rates!$F$15)))</f>
        <v/>
      </c>
      <c r="G96" s="81" t="str">
        <f ca="1">IF(B96="","",IF(OR($B$2="Salary Points 3 to 57",$B$2="Salary Points 3 to 57 (post-pay award)"),"-",IF(SUMIF(Grades!$A:$A,$B$2,Grades!$BP:$BP)=0,"-",$C96*Thresholds_Rates!$F$16)))</f>
        <v/>
      </c>
      <c r="H96" s="81" t="str">
        <f ca="1">IF(B96="","",IF($B$2="Apprenticeship","-",IF(SUMIF(Grades!$A:$A,$B$2,Grades!$BQ:$BQ)=0,"-",IF(AND(VLOOKUP($B$2,Grades!$A:$BW,75,FALSE)="YES",B96&gt;Thresholds_Rates!$C$17),"-",$C96*Thresholds_Rates!$F$17))))</f>
        <v/>
      </c>
      <c r="I96" s="81" t="str">
        <f ca="1">IF($B96="","",IF($C96=0,0,ROUND(($C96-(Thresholds_Rates!$C$5*12))*Thresholds_Rates!$C$10,0)))</f>
        <v/>
      </c>
      <c r="J96" s="81" t="str">
        <f ca="1">IF(B96="","",(C96*Thresholds_Rates!$C$12))</f>
        <v/>
      </c>
      <c r="K96" s="81" t="str">
        <f ca="1">IF(B96="","",IF(SUMIF(Grades!$A:$A,$B$2,Grades!$BR:$BR)=0,"-",IF(AND(VLOOKUP($B$2,Grades!$A:$BW,75,FALSE)="YES",B96&gt;Thresholds_Rates!$C$17),"-",$C96*Thresholds_Rates!$F$18)))</f>
        <v/>
      </c>
      <c r="L96" s="68"/>
      <c r="M96" s="81" t="str">
        <f t="shared" ca="1" si="8"/>
        <v/>
      </c>
      <c r="N96" s="81" t="str">
        <f t="shared" ca="1" si="9"/>
        <v/>
      </c>
      <c r="O96" s="81" t="str">
        <f t="shared" ca="1" si="10"/>
        <v/>
      </c>
      <c r="P96" s="81" t="str">
        <f t="shared" ca="1" si="11"/>
        <v/>
      </c>
      <c r="Q96" s="81" t="str">
        <f t="shared" ca="1" si="12"/>
        <v/>
      </c>
      <c r="S96" s="83" t="str">
        <f ca="1">IF(B96="","",IF($B$2="R&amp;T Level 5 - Clinical Lecturers (Vet School)",SUMIF('Points Lookup'!$V:$V,$B96,'Points Lookup'!$W:$W),IF($B$2="R&amp;T Level 6 - Clinical Associate Professors and Clinical Readers (Vet School)",SUMIF('Points Lookup'!$AC:$AC,$B96,'Points Lookup'!$AD:$AD),"")))</f>
        <v/>
      </c>
      <c r="T96" s="84" t="str">
        <f ca="1">IF(B96="","",IF($B$2="R&amp;T Level 5 - Clinical Lecturers (Vet School)",$C96-SUMIF('Points Lookup'!$V:$V,$B96,'Points Lookup'!$X:$X),IF($B$2="R&amp;T Level 6 - Clinical Associate Professors and Clinical Readers (Vet School)",$C96-SUMIF('Points Lookup'!$AC:$AC,$B96,'Points Lookup'!$AE:$AE),"")))</f>
        <v/>
      </c>
      <c r="U96" s="83" t="str">
        <f ca="1">IF(B96="","",IF($B$2="R&amp;T Level 5 - Clinical Lecturers (Vet School)",SUMIF('Points Lookup'!$V:$V,$B96,'Points Lookup'!$Z:$Z),IF($B$2="R&amp;T Level 6 - Clinical Associate Professors and Clinical Readers (Vet School)",SUMIF('Points Lookup'!$AC:$AC,$B96,'Points Lookup'!$AG:$AG),"")))</f>
        <v/>
      </c>
      <c r="V96" s="84" t="str">
        <f t="shared" ca="1" si="7"/>
        <v/>
      </c>
    </row>
    <row r="97" spans="2:22" x14ac:dyDescent="0.25">
      <c r="B97" s="68" t="str">
        <f ca="1">IFERROR(INDEX('Points Lookup'!$A:$A,MATCH($AA99,'Points Lookup'!$AN:$AN,0)),"")</f>
        <v/>
      </c>
      <c r="C97" s="81" t="str">
        <f ca="1">IF(B97="","",SUMIF(INDIRECT("'Points Lookup'!"&amp;VLOOKUP($B$2,Grades!A:BU,72,FALSE)&amp;":"&amp;VLOOKUP($B$2,Grades!A:BU,72,FALSE)),B97,INDIRECT("'Points Lookup'!"&amp;VLOOKUP($B$2,Grades!A:BU,73,FALSE)&amp;":"&amp;VLOOKUP($B$2,Grades!A:BU,73,FALSE))))</f>
        <v/>
      </c>
      <c r="D97" s="81"/>
      <c r="E97" s="81"/>
      <c r="F97" s="81" t="str">
        <f ca="1">IF($B97="","",IF(SUMIF(Grades!$A:$A,$B$2,Grades!$BO:$BO)=0,"-",IF(AND(VLOOKUP($B$2,Grades!$A:$BV,74,FALSE)="YES",B97&lt;Thresholds_Rates!$C$16),"-",$C97*Thresholds_Rates!$F$15)))</f>
        <v/>
      </c>
      <c r="G97" s="81" t="str">
        <f ca="1">IF(B97="","",IF(OR($B$2="Salary Points 3 to 57",$B$2="Salary Points 3 to 57 (post-pay award)"),"-",IF(SUMIF(Grades!$A:$A,$B$2,Grades!$BP:$BP)=0,"-",$C97*Thresholds_Rates!$F$16)))</f>
        <v/>
      </c>
      <c r="H97" s="81" t="str">
        <f ca="1">IF(B97="","",IF($B$2="Apprenticeship","-",IF(SUMIF(Grades!$A:$A,$B$2,Grades!$BQ:$BQ)=0,"-",IF(AND(VLOOKUP($B$2,Grades!$A:$BW,75,FALSE)="YES",B97&gt;Thresholds_Rates!$C$17),"-",$C97*Thresholds_Rates!$F$17))))</f>
        <v/>
      </c>
      <c r="I97" s="81" t="str">
        <f ca="1">IF($B97="","",IF($C97=0,0,ROUND(($C97-(Thresholds_Rates!$C$5*12))*Thresholds_Rates!$C$10,0)))</f>
        <v/>
      </c>
      <c r="J97" s="81" t="str">
        <f ca="1">IF(B97="","",(C97*Thresholds_Rates!$C$12))</f>
        <v/>
      </c>
      <c r="K97" s="81" t="str">
        <f ca="1">IF(B97="","",IF(SUMIF(Grades!$A:$A,$B$2,Grades!$BR:$BR)=0,"-",IF(AND(VLOOKUP($B$2,Grades!$A:$BW,75,FALSE)="YES",B97&gt;Thresholds_Rates!$C$17),"-",$C97*Thresholds_Rates!$F$18)))</f>
        <v/>
      </c>
      <c r="L97" s="68"/>
      <c r="M97" s="81" t="str">
        <f t="shared" ca="1" si="8"/>
        <v/>
      </c>
      <c r="N97" s="81" t="str">
        <f t="shared" ca="1" si="9"/>
        <v/>
      </c>
      <c r="O97" s="81" t="str">
        <f t="shared" ca="1" si="10"/>
        <v/>
      </c>
      <c r="P97" s="81" t="str">
        <f t="shared" ca="1" si="11"/>
        <v/>
      </c>
      <c r="Q97" s="81" t="str">
        <f t="shared" ca="1" si="12"/>
        <v/>
      </c>
      <c r="S97" s="83" t="str">
        <f ca="1">IF(B97="","",IF($B$2="R&amp;T Level 5 - Clinical Lecturers (Vet School)",SUMIF('Points Lookup'!$V:$V,$B97,'Points Lookup'!$W:$W),IF($B$2="R&amp;T Level 6 - Clinical Associate Professors and Clinical Readers (Vet School)",SUMIF('Points Lookup'!$AC:$AC,$B97,'Points Lookup'!$AD:$AD),"")))</f>
        <v/>
      </c>
      <c r="T97" s="84" t="str">
        <f ca="1">IF(B97="","",IF($B$2="R&amp;T Level 5 - Clinical Lecturers (Vet School)",$C97-SUMIF('Points Lookup'!$V:$V,$B97,'Points Lookup'!$X:$X),IF($B$2="R&amp;T Level 6 - Clinical Associate Professors and Clinical Readers (Vet School)",$C97-SUMIF('Points Lookup'!$AC:$AC,$B97,'Points Lookup'!$AE:$AE),"")))</f>
        <v/>
      </c>
      <c r="U97" s="83" t="str">
        <f ca="1">IF(B97="","",IF($B$2="R&amp;T Level 5 - Clinical Lecturers (Vet School)",SUMIF('Points Lookup'!$V:$V,$B97,'Points Lookup'!$Z:$Z),IF($B$2="R&amp;T Level 6 - Clinical Associate Professors and Clinical Readers (Vet School)",SUMIF('Points Lookup'!$AC:$AC,$B97,'Points Lookup'!$AG:$AG),"")))</f>
        <v/>
      </c>
      <c r="V97" s="84" t="str">
        <f t="shared" ca="1" si="7"/>
        <v/>
      </c>
    </row>
    <row r="98" spans="2:22" x14ac:dyDescent="0.25">
      <c r="B98" s="68" t="str">
        <f ca="1">IFERROR(INDEX('Points Lookup'!$A:$A,MATCH($AA100,'Points Lookup'!$AN:$AN,0)),"")</f>
        <v/>
      </c>
      <c r="C98" s="81" t="str">
        <f ca="1">IF(B98="","",SUMIF(INDIRECT("'Points Lookup'!"&amp;VLOOKUP($B$2,Grades!A:BU,72,FALSE)&amp;":"&amp;VLOOKUP($B$2,Grades!A:BU,72,FALSE)),B98,INDIRECT("'Points Lookup'!"&amp;VLOOKUP($B$2,Grades!A:BU,73,FALSE)&amp;":"&amp;VLOOKUP($B$2,Grades!A:BU,73,FALSE))))</f>
        <v/>
      </c>
      <c r="D98" s="81"/>
      <c r="E98" s="81"/>
      <c r="F98" s="81" t="str">
        <f ca="1">IF($B98="","",IF(SUMIF(Grades!$A:$A,$B$2,Grades!$BO:$BO)=0,"-",IF(AND(VLOOKUP($B$2,Grades!$A:$BV,74,FALSE)="YES",B98&lt;Thresholds_Rates!$C$16),"-",$C98*Thresholds_Rates!$F$15)))</f>
        <v/>
      </c>
      <c r="G98" s="81" t="str">
        <f ca="1">IF(B98="","",IF(OR($B$2="Salary Points 3 to 57",$B$2="Salary Points 3 to 57 (post-pay award)"),"-",IF(SUMIF(Grades!$A:$A,$B$2,Grades!$BP:$BP)=0,"-",$C98*Thresholds_Rates!$F$16)))</f>
        <v/>
      </c>
      <c r="H98" s="81" t="str">
        <f ca="1">IF(B98="","",IF($B$2="Apprenticeship","-",IF(SUMIF(Grades!$A:$A,$B$2,Grades!$BQ:$BQ)=0,"-",IF(AND(VLOOKUP($B$2,Grades!$A:$BW,75,FALSE)="YES",B98&gt;Thresholds_Rates!$C$17),"-",$C98*Thresholds_Rates!$F$17))))</f>
        <v/>
      </c>
      <c r="I98" s="81" t="str">
        <f ca="1">IF($B98="","",IF($C98=0,0,ROUND(($C98-(Thresholds_Rates!$C$5*12))*Thresholds_Rates!$C$10,0)))</f>
        <v/>
      </c>
      <c r="J98" s="81" t="str">
        <f ca="1">IF(B98="","",(C98*Thresholds_Rates!$C$12))</f>
        <v/>
      </c>
      <c r="K98" s="81" t="str">
        <f ca="1">IF(B98="","",IF(SUMIF(Grades!$A:$A,$B$2,Grades!$BR:$BR)=0,"-",IF(AND(VLOOKUP($B$2,Grades!$A:$BW,75,FALSE)="YES",B98&gt;Thresholds_Rates!$C$17),"-",$C98*Thresholds_Rates!$F$18)))</f>
        <v/>
      </c>
      <c r="L98" s="68"/>
      <c r="M98" s="81" t="str">
        <f t="shared" ca="1" si="8"/>
        <v/>
      </c>
      <c r="N98" s="81" t="str">
        <f t="shared" ca="1" si="9"/>
        <v/>
      </c>
      <c r="O98" s="81" t="str">
        <f t="shared" ca="1" si="10"/>
        <v/>
      </c>
      <c r="P98" s="81" t="str">
        <f t="shared" ca="1" si="11"/>
        <v/>
      </c>
      <c r="Q98" s="81" t="str">
        <f t="shared" ca="1" si="12"/>
        <v/>
      </c>
      <c r="S98" s="83" t="str">
        <f ca="1">IF(B98="","",IF($B$2="R&amp;T Level 5 - Clinical Lecturers (Vet School)",SUMIF('Points Lookup'!$V:$V,$B98,'Points Lookup'!$W:$W),IF($B$2="R&amp;T Level 6 - Clinical Associate Professors and Clinical Readers (Vet School)",SUMIF('Points Lookup'!$AC:$AC,$B98,'Points Lookup'!$AD:$AD),"")))</f>
        <v/>
      </c>
      <c r="T98" s="84" t="str">
        <f ca="1">IF(B98="","",IF($B$2="R&amp;T Level 5 - Clinical Lecturers (Vet School)",$C98-SUMIF('Points Lookup'!$V:$V,$B98,'Points Lookup'!$X:$X),IF($B$2="R&amp;T Level 6 - Clinical Associate Professors and Clinical Readers (Vet School)",$C98-SUMIF('Points Lookup'!$AC:$AC,$B98,'Points Lookup'!$AE:$AE),"")))</f>
        <v/>
      </c>
      <c r="U98" s="83" t="str">
        <f ca="1">IF(B98="","",IF($B$2="R&amp;T Level 5 - Clinical Lecturers (Vet School)",SUMIF('Points Lookup'!$V:$V,$B98,'Points Lookup'!$Z:$Z),IF($B$2="R&amp;T Level 6 - Clinical Associate Professors and Clinical Readers (Vet School)",SUMIF('Points Lookup'!$AC:$AC,$B98,'Points Lookup'!$AG:$AG),"")))</f>
        <v/>
      </c>
      <c r="V98" s="84" t="str">
        <f t="shared" ca="1" si="7"/>
        <v/>
      </c>
    </row>
    <row r="99" spans="2:22" x14ac:dyDescent="0.25">
      <c r="B99" s="68" t="str">
        <f ca="1">IFERROR(INDEX('Points Lookup'!$A:$A,MATCH($AA101,'Points Lookup'!$AN:$AN,0)),"")</f>
        <v/>
      </c>
      <c r="C99" s="81" t="str">
        <f ca="1">IF(B99="","",SUMIF(INDIRECT("'Points Lookup'!"&amp;VLOOKUP($B$2,Grades!A:BU,72,FALSE)&amp;":"&amp;VLOOKUP($B$2,Grades!A:BU,72,FALSE)),B99,INDIRECT("'Points Lookup'!"&amp;VLOOKUP($B$2,Grades!A:BU,73,FALSE)&amp;":"&amp;VLOOKUP($B$2,Grades!A:BU,73,FALSE))))</f>
        <v/>
      </c>
      <c r="D99" s="81"/>
      <c r="E99" s="81"/>
      <c r="F99" s="81" t="str">
        <f ca="1">IF($B99="","",IF(SUMIF(Grades!$A:$A,$B$2,Grades!$BO:$BO)=0,"-",IF(AND(VLOOKUP($B$2,Grades!$A:$BV,74,FALSE)="YES",B99&lt;Thresholds_Rates!$C$16),"-",$C99*Thresholds_Rates!$F$15)))</f>
        <v/>
      </c>
      <c r="G99" s="81" t="str">
        <f ca="1">IF(B99="","",IF(OR($B$2="Salary Points 3 to 57",$B$2="Salary Points 3 to 57 (post-pay award)"),"-",IF(SUMIF(Grades!$A:$A,$B$2,Grades!$BP:$BP)=0,"-",$C99*Thresholds_Rates!$F$16)))</f>
        <v/>
      </c>
      <c r="H99" s="81" t="str">
        <f ca="1">IF(B99="","",IF($B$2="Apprenticeship","-",IF(SUMIF(Grades!$A:$A,$B$2,Grades!$BQ:$BQ)=0,"-",IF(AND(VLOOKUP($B$2,Grades!$A:$BW,75,FALSE)="YES",B99&gt;Thresholds_Rates!$C$17),"-",$C99*Thresholds_Rates!$F$17))))</f>
        <v/>
      </c>
      <c r="I99" s="81" t="str">
        <f ca="1">IF($B99="","",IF($C99=0,0,ROUND(($C99-(Thresholds_Rates!$C$5*12))*Thresholds_Rates!$C$10,0)))</f>
        <v/>
      </c>
      <c r="J99" s="81" t="str">
        <f ca="1">IF(B99="","",(C99*Thresholds_Rates!$C$12))</f>
        <v/>
      </c>
      <c r="K99" s="81" t="str">
        <f ca="1">IF(B99="","",IF(SUMIF(Grades!$A:$A,$B$2,Grades!$BR:$BR)=0,"-",IF(AND(VLOOKUP($B$2,Grades!$A:$BW,75,FALSE)="YES",B99&gt;Thresholds_Rates!$C$17),"-",$C99*Thresholds_Rates!$F$18)))</f>
        <v/>
      </c>
      <c r="L99" s="68"/>
      <c r="M99" s="81" t="str">
        <f t="shared" ca="1" si="8"/>
        <v/>
      </c>
      <c r="N99" s="81" t="str">
        <f t="shared" ca="1" si="9"/>
        <v/>
      </c>
      <c r="O99" s="81" t="str">
        <f t="shared" ca="1" si="10"/>
        <v/>
      </c>
      <c r="P99" s="81" t="str">
        <f t="shared" ca="1" si="11"/>
        <v/>
      </c>
      <c r="Q99" s="81" t="str">
        <f t="shared" ca="1" si="12"/>
        <v/>
      </c>
      <c r="S99" s="83" t="str">
        <f ca="1">IF(B99="","",IF($B$2="R&amp;T Level 5 - Clinical Lecturers (Vet School)",SUMIF('Points Lookup'!$V:$V,$B99,'Points Lookup'!$W:$W),IF($B$2="R&amp;T Level 6 - Clinical Associate Professors and Clinical Readers (Vet School)",SUMIF('Points Lookup'!$AC:$AC,$B99,'Points Lookup'!$AD:$AD),"")))</f>
        <v/>
      </c>
      <c r="T99" s="84" t="str">
        <f ca="1">IF(B99="","",IF($B$2="R&amp;T Level 5 - Clinical Lecturers (Vet School)",$C99-SUMIF('Points Lookup'!$V:$V,$B99,'Points Lookup'!$X:$X),IF($B$2="R&amp;T Level 6 - Clinical Associate Professors and Clinical Readers (Vet School)",$C99-SUMIF('Points Lookup'!$AC:$AC,$B99,'Points Lookup'!$AE:$AE),"")))</f>
        <v/>
      </c>
      <c r="U99" s="83" t="str">
        <f ca="1">IF(B99="","",IF($B$2="R&amp;T Level 5 - Clinical Lecturers (Vet School)",SUMIF('Points Lookup'!$V:$V,$B99,'Points Lookup'!$Z:$Z),IF($B$2="R&amp;T Level 6 - Clinical Associate Professors and Clinical Readers (Vet School)",SUMIF('Points Lookup'!$AC:$AC,$B99,'Points Lookup'!$AG:$AG),"")))</f>
        <v/>
      </c>
      <c r="V99" s="84" t="str">
        <f t="shared" ca="1" si="7"/>
        <v/>
      </c>
    </row>
    <row r="100" spans="2:22" x14ac:dyDescent="0.25">
      <c r="B100" s="68" t="str">
        <f ca="1">IFERROR(INDEX('Points Lookup'!$A:$A,MATCH($AA102,'Points Lookup'!$AN:$AN,0)),"")</f>
        <v/>
      </c>
      <c r="C100" s="81" t="str">
        <f ca="1">IF(B100="","",SUMIF(INDIRECT("'Points Lookup'!"&amp;VLOOKUP($B$2,Grades!A:BU,72,FALSE)&amp;":"&amp;VLOOKUP($B$2,Grades!A:BU,72,FALSE)),B100,INDIRECT("'Points Lookup'!"&amp;VLOOKUP($B$2,Grades!A:BU,73,FALSE)&amp;":"&amp;VLOOKUP($B$2,Grades!A:BU,73,FALSE))))</f>
        <v/>
      </c>
      <c r="D100" s="81"/>
      <c r="E100" s="81"/>
      <c r="F100" s="81" t="str">
        <f ca="1">IF($B100="","",IF(SUMIF(Grades!$A:$A,$B$2,Grades!$BO:$BO)=0,"-",IF(AND(VLOOKUP($B$2,Grades!$A:$BV,74,FALSE)="YES",B100&lt;Thresholds_Rates!$C$16),"-",$C100*Thresholds_Rates!$F$15)))</f>
        <v/>
      </c>
      <c r="G100" s="81" t="str">
        <f ca="1">IF(B100="","",IF(OR($B$2="Salary Points 3 to 57",$B$2="Salary Points 3 to 57 (post-pay award)"),"-",IF(SUMIF(Grades!$A:$A,$B$2,Grades!$BP:$BP)=0,"-",$C100*Thresholds_Rates!$F$16)))</f>
        <v/>
      </c>
      <c r="H100" s="81" t="str">
        <f ca="1">IF(B100="","",IF($B$2="Apprenticeship","-",IF(SUMIF(Grades!$A:$A,$B$2,Grades!$BQ:$BQ)=0,"-",IF(AND(VLOOKUP($B$2,Grades!$A:$BW,75,FALSE)="YES",B100&gt;Thresholds_Rates!$C$17),"-",$C100*Thresholds_Rates!$F$17))))</f>
        <v/>
      </c>
      <c r="I100" s="81" t="str">
        <f ca="1">IF($B100="","",IF($C100=0,0,ROUND(($C100-(Thresholds_Rates!$C$5*12))*Thresholds_Rates!$C$10,0)))</f>
        <v/>
      </c>
      <c r="J100" s="81" t="str">
        <f ca="1">IF(B100="","",(C100*Thresholds_Rates!$C$12))</f>
        <v/>
      </c>
      <c r="K100" s="81" t="str">
        <f ca="1">IF(B100="","",IF(SUMIF(Grades!$A:$A,$B$2,Grades!$BR:$BR)=0,"-",IF(AND(VLOOKUP($B$2,Grades!$A:$BW,75,FALSE)="YES",B100&gt;Thresholds_Rates!$C$17),"-",$C100*Thresholds_Rates!$F$18)))</f>
        <v/>
      </c>
      <c r="L100" s="68"/>
      <c r="M100" s="81" t="str">
        <f t="shared" ca="1" si="8"/>
        <v/>
      </c>
      <c r="N100" s="81" t="str">
        <f t="shared" ca="1" si="9"/>
        <v/>
      </c>
      <c r="O100" s="81" t="str">
        <f t="shared" ca="1" si="10"/>
        <v/>
      </c>
      <c r="P100" s="81" t="str">
        <f t="shared" ca="1" si="11"/>
        <v/>
      </c>
      <c r="Q100" s="81" t="str">
        <f t="shared" ca="1" si="12"/>
        <v/>
      </c>
      <c r="S100" s="83" t="str">
        <f ca="1">IF(B100="","",IF($B$2="R&amp;T Level 5 - Clinical Lecturers (Vet School)",SUMIF('Points Lookup'!$V:$V,$B100,'Points Lookup'!$W:$W),IF($B$2="R&amp;T Level 6 - Clinical Associate Professors and Clinical Readers (Vet School)",SUMIF('Points Lookup'!$AC:$AC,$B100,'Points Lookup'!$AD:$AD),"")))</f>
        <v/>
      </c>
      <c r="T100" s="84" t="str">
        <f ca="1">IF(B100="","",IF($B$2="R&amp;T Level 5 - Clinical Lecturers (Vet School)",$C100-SUMIF('Points Lookup'!$V:$V,$B100,'Points Lookup'!$X:$X),IF($B$2="R&amp;T Level 6 - Clinical Associate Professors and Clinical Readers (Vet School)",$C100-SUMIF('Points Lookup'!$AC:$AC,$B100,'Points Lookup'!$AE:$AE),"")))</f>
        <v/>
      </c>
      <c r="U100" s="83" t="str">
        <f ca="1">IF(B100="","",IF($B$2="R&amp;T Level 5 - Clinical Lecturers (Vet School)",SUMIF('Points Lookup'!$V:$V,$B100,'Points Lookup'!$Z:$Z),IF($B$2="R&amp;T Level 6 - Clinical Associate Professors and Clinical Readers (Vet School)",SUMIF('Points Lookup'!$AC:$AC,$B100,'Points Lookup'!$AG:$AG),"")))</f>
        <v/>
      </c>
      <c r="V100" s="84" t="str">
        <f t="shared" ca="1" si="7"/>
        <v/>
      </c>
    </row>
    <row r="101" spans="2:22" x14ac:dyDescent="0.25">
      <c r="B101" s="68" t="str">
        <f ca="1">IFERROR(INDEX('Points Lookup'!$A:$A,MATCH($AA103,'Points Lookup'!$AN:$AN,0)),"")</f>
        <v/>
      </c>
      <c r="C101" s="81" t="str">
        <f ca="1">IF(B101="","",SUMIF(INDIRECT("'Points Lookup'!"&amp;VLOOKUP($B$2,Grades!A:BU,72,FALSE)&amp;":"&amp;VLOOKUP($B$2,Grades!A:BU,72,FALSE)),B101,INDIRECT("'Points Lookup'!"&amp;VLOOKUP($B$2,Grades!A:BU,73,FALSE)&amp;":"&amp;VLOOKUP($B$2,Grades!A:BU,73,FALSE))))</f>
        <v/>
      </c>
      <c r="D101" s="81"/>
      <c r="E101" s="81"/>
      <c r="F101" s="81" t="str">
        <f ca="1">IF($B101="","",IF(SUMIF(Grades!$A:$A,$B$2,Grades!$BO:$BO)=0,"-",IF(AND(VLOOKUP($B$2,Grades!$A:$BV,74,FALSE)="YES",B101&lt;Thresholds_Rates!$C$16),"-",$C101*Thresholds_Rates!$F$15)))</f>
        <v/>
      </c>
      <c r="G101" s="81" t="str">
        <f ca="1">IF(B101="","",IF(OR($B$2="Salary Points 3 to 57",$B$2="Salary Points 3 to 57 (post-pay award)"),"-",IF(SUMIF(Grades!$A:$A,$B$2,Grades!$BP:$BP)=0,"-",$C101*Thresholds_Rates!$F$16)))</f>
        <v/>
      </c>
      <c r="H101" s="81" t="str">
        <f ca="1">IF(B101="","",IF($B$2="Apprenticeship","-",IF(SUMIF(Grades!$A:$A,$B$2,Grades!$BQ:$BQ)=0,"-",IF(AND(VLOOKUP($B$2,Grades!$A:$BW,75,FALSE)="YES",B101&gt;Thresholds_Rates!$C$17),"-",$C101*Thresholds_Rates!$F$17))))</f>
        <v/>
      </c>
      <c r="I101" s="81" t="str">
        <f ca="1">IF($B101="","",IF($C101=0,0,ROUND(($C101-(Thresholds_Rates!$C$5*12))*Thresholds_Rates!$C$10,0)))</f>
        <v/>
      </c>
      <c r="J101" s="81" t="str">
        <f ca="1">IF(B101="","",(C101*Thresholds_Rates!$C$12))</f>
        <v/>
      </c>
      <c r="K101" s="81" t="str">
        <f ca="1">IF(B101="","",IF(SUMIF(Grades!$A:$A,$B$2,Grades!$BR:$BR)=0,"-",IF(AND(VLOOKUP($B$2,Grades!$A:$BW,75,FALSE)="YES",B101&gt;Thresholds_Rates!$C$17),"-",$C101*Thresholds_Rates!$F$18)))</f>
        <v/>
      </c>
      <c r="L101" s="68"/>
      <c r="M101" s="81" t="str">
        <f t="shared" ca="1" si="8"/>
        <v/>
      </c>
      <c r="N101" s="81" t="str">
        <f t="shared" ca="1" si="9"/>
        <v/>
      </c>
      <c r="O101" s="81" t="str">
        <f t="shared" ca="1" si="10"/>
        <v/>
      </c>
      <c r="P101" s="81" t="str">
        <f t="shared" ca="1" si="11"/>
        <v/>
      </c>
      <c r="Q101" s="81" t="str">
        <f t="shared" ca="1" si="12"/>
        <v/>
      </c>
      <c r="S101" s="83" t="str">
        <f ca="1">IF(B101="","",IF($B$2="R&amp;T Level 5 - Clinical Lecturers (Vet School)",SUMIF('Points Lookup'!$V:$V,$B101,'Points Lookup'!$W:$W),IF($B$2="R&amp;T Level 6 - Clinical Associate Professors and Clinical Readers (Vet School)",SUMIF('Points Lookup'!$AC:$AC,$B101,'Points Lookup'!$AD:$AD),"")))</f>
        <v/>
      </c>
      <c r="T101" s="84" t="str">
        <f ca="1">IF(B101="","",IF($B$2="R&amp;T Level 5 - Clinical Lecturers (Vet School)",$C101-SUMIF('Points Lookup'!$V:$V,$B101,'Points Lookup'!$X:$X),IF($B$2="R&amp;T Level 6 - Clinical Associate Professors and Clinical Readers (Vet School)",$C101-SUMIF('Points Lookup'!$AC:$AC,$B101,'Points Lookup'!$AE:$AE),"")))</f>
        <v/>
      </c>
      <c r="U101" s="83" t="str">
        <f ca="1">IF(B101="","",IF($B$2="R&amp;T Level 5 - Clinical Lecturers (Vet School)",SUMIF('Points Lookup'!$V:$V,$B101,'Points Lookup'!$Z:$Z),IF($B$2="R&amp;T Level 6 - Clinical Associate Professors and Clinical Readers (Vet School)",SUMIF('Points Lookup'!$AC:$AC,$B101,'Points Lookup'!$AG:$AG),"")))</f>
        <v/>
      </c>
      <c r="V101" s="84" t="str">
        <f t="shared" ca="1" si="7"/>
        <v/>
      </c>
    </row>
    <row r="102" spans="2:22" x14ac:dyDescent="0.25">
      <c r="B102" s="68" t="str">
        <f ca="1">IFERROR(INDEX('Points Lookup'!$A:$A,MATCH($AA104,'Points Lookup'!$AN:$AN,0)),"")</f>
        <v/>
      </c>
      <c r="C102" s="81" t="str">
        <f ca="1">IF(B102="","",SUMIF(INDIRECT("'Points Lookup'!"&amp;VLOOKUP($B$2,Grades!A:BU,72,FALSE)&amp;":"&amp;VLOOKUP($B$2,Grades!A:BU,72,FALSE)),B102,INDIRECT("'Points Lookup'!"&amp;VLOOKUP($B$2,Grades!A:BU,73,FALSE)&amp;":"&amp;VLOOKUP($B$2,Grades!A:BU,73,FALSE))))</f>
        <v/>
      </c>
      <c r="D102" s="81"/>
      <c r="E102" s="81"/>
      <c r="F102" s="81" t="str">
        <f ca="1">IF($B102="","",IF(SUMIF(Grades!$A:$A,$B$2,Grades!$BO:$BO)=0,"-",IF(AND(VLOOKUP($B$2,Grades!$A:$BV,74,FALSE)="YES",B102&lt;Thresholds_Rates!$C$16),"-",$C102*Thresholds_Rates!$F$15)))</f>
        <v/>
      </c>
      <c r="G102" s="81" t="str">
        <f ca="1">IF(B102="","",IF(OR($B$2="Salary Points 3 to 57",$B$2="Salary Points 3 to 57 (post-pay award)"),"-",IF(SUMIF(Grades!$A:$A,$B$2,Grades!$BP:$BP)=0,"-",$C102*Thresholds_Rates!$F$16)))</f>
        <v/>
      </c>
      <c r="H102" s="81" t="str">
        <f ca="1">IF(B102="","",IF($B$2="Apprenticeship","-",IF(SUMIF(Grades!$A:$A,$B$2,Grades!$BQ:$BQ)=0,"-",IF(AND(VLOOKUP($B$2,Grades!$A:$BW,75,FALSE)="YES",B102&gt;Thresholds_Rates!$C$17),"-",$C102*Thresholds_Rates!$F$17))))</f>
        <v/>
      </c>
      <c r="I102" s="81"/>
      <c r="J102" s="81" t="str">
        <f ca="1">IF(B102="","",(C102*Thresholds_Rates!$C$12))</f>
        <v/>
      </c>
      <c r="K102" s="81"/>
      <c r="L102" s="68"/>
      <c r="M102" s="81" t="str">
        <f t="shared" ca="1" si="8"/>
        <v/>
      </c>
      <c r="N102" s="81" t="str">
        <f t="shared" ca="1" si="9"/>
        <v/>
      </c>
      <c r="O102" s="81" t="str">
        <f t="shared" ca="1" si="10"/>
        <v/>
      </c>
      <c r="P102" s="81" t="str">
        <f t="shared" ca="1" si="11"/>
        <v/>
      </c>
      <c r="Q102" s="81" t="str">
        <f t="shared" ca="1" si="12"/>
        <v/>
      </c>
      <c r="S102" s="83"/>
      <c r="T102" s="84"/>
      <c r="U102" s="83"/>
      <c r="V102" s="84"/>
    </row>
    <row r="103" spans="2:22" x14ac:dyDescent="0.25">
      <c r="B103" s="68" t="str">
        <f ca="1">IFERROR(INDEX('Points Lookup'!$A:$A,MATCH($AA105,'Points Lookup'!$AN:$AN,0)),"")</f>
        <v/>
      </c>
      <c r="C103" s="81" t="str">
        <f ca="1">IF(B103="","",SUMIF(INDIRECT("'Points Lookup'!"&amp;VLOOKUP($B$2,Grades!A:BU,72,FALSE)&amp;":"&amp;VLOOKUP($B$2,Grades!A:BU,72,FALSE)),B103,INDIRECT("'Points Lookup'!"&amp;VLOOKUP($B$2,Grades!A:BU,73,FALSE)&amp;":"&amp;VLOOKUP($B$2,Grades!A:BU,73,FALSE))))</f>
        <v/>
      </c>
      <c r="D103" s="81"/>
      <c r="E103" s="81"/>
      <c r="F103" s="81" t="str">
        <f ca="1">IF($B103="","",IF(SUMIF(Grades!$A:$A,$B$2,Grades!$BO:$BO)=0,"-",IF(AND(VLOOKUP($B$2,Grades!$A:$BV,74,FALSE)="YES",B103&lt;Thresholds_Rates!$C$16),"-",$C103*Thresholds_Rates!$F$15)))</f>
        <v/>
      </c>
      <c r="G103" s="81" t="str">
        <f ca="1">IF(B103="","",IF(OR($B$2="Salary Points 3 to 57",$B$2="Salary Points 3 to 57 (post-pay award)"),"-",IF(SUMIF(Grades!$A:$A,$B$2,Grades!$BP:$BP)=0,"-",$C103*Thresholds_Rates!$F$16)))</f>
        <v/>
      </c>
      <c r="H103" s="81" t="str">
        <f ca="1">IF(B103="","",IF($B$2="Apprenticeship","-",IF(SUMIF(Grades!$A:$A,$B$2,Grades!$BQ:$BQ)=0,"-",IF(AND(VLOOKUP($B$2,Grades!$A:$BW,75,FALSE)="YES",B103&gt;Thresholds_Rates!$C$17),"-",$C103*Thresholds_Rates!$F$17))))</f>
        <v/>
      </c>
      <c r="I103" s="81"/>
      <c r="J103" s="81" t="str">
        <f ca="1">IF(B103="","",(C103*Thresholds_Rates!$C$12))</f>
        <v/>
      </c>
      <c r="K103" s="81"/>
      <c r="L103" s="68"/>
      <c r="M103" s="81" t="str">
        <f t="shared" ca="1" si="8"/>
        <v/>
      </c>
      <c r="N103" s="81" t="str">
        <f t="shared" ca="1" si="9"/>
        <v/>
      </c>
      <c r="O103" s="81" t="str">
        <f t="shared" ca="1" si="10"/>
        <v/>
      </c>
      <c r="P103" s="81" t="str">
        <f t="shared" ca="1" si="11"/>
        <v/>
      </c>
      <c r="Q103" s="81" t="str">
        <f t="shared" ca="1" si="12"/>
        <v/>
      </c>
      <c r="S103" s="83"/>
      <c r="T103" s="84"/>
      <c r="U103" s="83"/>
      <c r="V103" s="84"/>
    </row>
    <row r="104" spans="2:22" x14ac:dyDescent="0.25">
      <c r="B104" s="68" t="str">
        <f ca="1">IFERROR(INDEX('Points Lookup'!$A:$A,MATCH($AA106,'Points Lookup'!$AN:$AN,0)),"")</f>
        <v/>
      </c>
      <c r="C104" s="81" t="str">
        <f ca="1">IF(B104="","",SUMIF(INDIRECT("'Points Lookup'!"&amp;VLOOKUP($B$2,Grades!A:BU,72,FALSE)&amp;":"&amp;VLOOKUP($B$2,Grades!A:BU,72,FALSE)),B104,INDIRECT("'Points Lookup'!"&amp;VLOOKUP($B$2,Grades!A:BU,73,FALSE)&amp;":"&amp;VLOOKUP($B$2,Grades!A:BU,73,FALSE))))</f>
        <v/>
      </c>
      <c r="D104" s="81"/>
      <c r="E104" s="81"/>
      <c r="F104" s="81" t="str">
        <f ca="1">IF($B104="","",IF(SUMIF(Grades!$A:$A,$B$2,Grades!$BO:$BO)=0,"-",IF(AND(VLOOKUP($B$2,Grades!$A:$BV,74,FALSE)="YES",B104&lt;Thresholds_Rates!$C$16),"-",$C104*Thresholds_Rates!$F$15)))</f>
        <v/>
      </c>
      <c r="G104" s="81" t="str">
        <f ca="1">IF(B104="","",IF(OR($B$2="Salary Points 3 to 57",$B$2="Salary Points 3 to 57 (post-pay award)"),"-",IF(SUMIF(Grades!$A:$A,$B$2,Grades!$BP:$BP)=0,"-",$C104*Thresholds_Rates!$F$16)))</f>
        <v/>
      </c>
      <c r="H104" s="81" t="str">
        <f ca="1">IF(B104="","",IF($B$2="Apprenticeship","-",IF(SUMIF(Grades!$A:$A,$B$2,Grades!$BQ:$BQ)=0,"-",IF(AND(VLOOKUP($B$2,Grades!$A:$BW,75,FALSE)="YES",B104&gt;Thresholds_Rates!$C$17),"-",$C104*Thresholds_Rates!$F$17))))</f>
        <v/>
      </c>
      <c r="I104" s="81"/>
      <c r="J104" s="81" t="str">
        <f ca="1">IF(B104="","",(C104*Thresholds_Rates!$C$12))</f>
        <v/>
      </c>
      <c r="K104" s="81"/>
      <c r="L104" s="68"/>
      <c r="M104" s="81" t="str">
        <f t="shared" ca="1" si="8"/>
        <v/>
      </c>
      <c r="N104" s="81" t="str">
        <f t="shared" ca="1" si="9"/>
        <v/>
      </c>
      <c r="O104" s="81" t="str">
        <f t="shared" ca="1" si="10"/>
        <v/>
      </c>
      <c r="P104" s="81" t="str">
        <f t="shared" ca="1" si="11"/>
        <v/>
      </c>
      <c r="Q104" s="81" t="str">
        <f t="shared" ca="1" si="12"/>
        <v/>
      </c>
      <c r="S104" s="83"/>
      <c r="T104" s="84"/>
      <c r="U104" s="83"/>
      <c r="V104" s="84"/>
    </row>
    <row r="105" spans="2:22" x14ac:dyDescent="0.25">
      <c r="B105" s="68" t="str">
        <f ca="1">IFERROR(INDEX('Points Lookup'!$A:$A,MATCH($AA107,'Points Lookup'!$AN:$AN,0)),"")</f>
        <v/>
      </c>
      <c r="C105" s="81" t="str">
        <f ca="1">IF(B105="","",SUMIF(INDIRECT("'Points Lookup'!"&amp;VLOOKUP($B$2,Grades!A:BU,72,FALSE)&amp;":"&amp;VLOOKUP($B$2,Grades!A:BU,72,FALSE)),B105,INDIRECT("'Points Lookup'!"&amp;VLOOKUP($B$2,Grades!A:BU,73,FALSE)&amp;":"&amp;VLOOKUP($B$2,Grades!A:BU,73,FALSE))))</f>
        <v/>
      </c>
      <c r="D105" s="81"/>
      <c r="E105" s="81"/>
      <c r="F105" s="81" t="str">
        <f ca="1">IF($B105="","",IF(SUMIF(Grades!$A:$A,$B$2,Grades!$BO:$BO)=0,"-",IF(AND(VLOOKUP($B$2,Grades!$A:$BV,74,FALSE)="YES",B105&lt;Thresholds_Rates!$C$16),"-",$C105*Thresholds_Rates!$F$15)))</f>
        <v/>
      </c>
      <c r="G105" s="81" t="str">
        <f ca="1">IF(B105="","",IF(OR($B$2="Salary Points 3 to 57",$B$2="Salary Points 3 to 57 (post-pay award)"),"-",IF(SUMIF(Grades!$A:$A,$B$2,Grades!$BP:$BP)=0,"-",$C105*Thresholds_Rates!$F$16)))</f>
        <v/>
      </c>
      <c r="H105" s="81" t="str">
        <f ca="1">IF(B105="","",IF($B$2="Apprenticeship","-",IF(SUMIF(Grades!$A:$A,$B$2,Grades!$BQ:$BQ)=0,"-",IF(AND(VLOOKUP($B$2,Grades!$A:$BW,75,FALSE)="YES",B105&gt;Thresholds_Rates!$C$17),"-",$C105*Thresholds_Rates!$F$17))))</f>
        <v/>
      </c>
      <c r="I105" s="81"/>
      <c r="J105" s="81" t="str">
        <f ca="1">IF(B105="","",(C105*Thresholds_Rates!$C$12))</f>
        <v/>
      </c>
      <c r="K105" s="81"/>
      <c r="L105" s="68"/>
      <c r="M105" s="81" t="str">
        <f t="shared" ca="1" si="8"/>
        <v/>
      </c>
      <c r="N105" s="81" t="str">
        <f t="shared" ca="1" si="9"/>
        <v/>
      </c>
      <c r="O105" s="81" t="str">
        <f t="shared" ca="1" si="10"/>
        <v/>
      </c>
      <c r="P105" s="81" t="str">
        <f t="shared" ca="1" si="11"/>
        <v/>
      </c>
      <c r="Q105" s="81" t="str">
        <f t="shared" ca="1" si="12"/>
        <v/>
      </c>
      <c r="S105" s="83"/>
      <c r="T105" s="84"/>
      <c r="U105" s="83"/>
      <c r="V105" s="84"/>
    </row>
    <row r="106" spans="2:22" x14ac:dyDescent="0.25">
      <c r="B106" s="68" t="str">
        <f ca="1">IFERROR(INDEX('Points Lookup'!$A:$A,MATCH($AA108,'Points Lookup'!$AN:$AN,0)),"")</f>
        <v/>
      </c>
      <c r="C106" s="81" t="str">
        <f ca="1">IF(B106="","",SUMIF(INDIRECT("'Points Lookup'!"&amp;VLOOKUP($B$2,Grades!A:BU,72,FALSE)&amp;":"&amp;VLOOKUP($B$2,Grades!A:BU,72,FALSE)),B106,INDIRECT("'Points Lookup'!"&amp;VLOOKUP($B$2,Grades!A:BU,73,FALSE)&amp;":"&amp;VLOOKUP($B$2,Grades!A:BU,73,FALSE))))</f>
        <v/>
      </c>
      <c r="D106" s="81"/>
      <c r="E106" s="81"/>
      <c r="F106" s="81" t="str">
        <f ca="1">IF($B106="","",IF(SUMIF(Grades!$A:$A,$B$2,Grades!$BO:$BO)=0,"-",IF(AND(VLOOKUP($B$2,Grades!$A:$BV,74,FALSE)="YES",B106&lt;Thresholds_Rates!$C$16),"-",$C106*Thresholds_Rates!$F$15)))</f>
        <v/>
      </c>
      <c r="G106" s="81" t="str">
        <f ca="1">IF(B106="","",IF(OR($B$2="Salary Points 3 to 57",$B$2="Salary Points 3 to 57 (post-pay award)"),"-",IF(SUMIF(Grades!$A:$A,$B$2,Grades!$BP:$BP)=0,"-",$C106*Thresholds_Rates!$F$16)))</f>
        <v/>
      </c>
      <c r="H106" s="81" t="str">
        <f ca="1">IF(B106="","",IF($B$2="Apprenticeship","-",IF(SUMIF(Grades!$A:$A,$B$2,Grades!$BQ:$BQ)=0,"-",IF(AND(VLOOKUP($B$2,Grades!$A:$BW,75,FALSE)="YES",B106&gt;Thresholds_Rates!$C$17),"-",$C106*Thresholds_Rates!$F$17))))</f>
        <v/>
      </c>
      <c r="I106" s="81"/>
      <c r="J106" s="81" t="str">
        <f ca="1">IF(B106="","",(C106*Thresholds_Rates!$C$12))</f>
        <v/>
      </c>
      <c r="K106" s="81"/>
      <c r="L106" s="68"/>
      <c r="M106" s="81" t="str">
        <f t="shared" ca="1" si="8"/>
        <v/>
      </c>
      <c r="N106" s="81" t="str">
        <f t="shared" ca="1" si="9"/>
        <v/>
      </c>
      <c r="O106" s="81" t="str">
        <f t="shared" ca="1" si="10"/>
        <v/>
      </c>
      <c r="P106" s="81" t="str">
        <f t="shared" ca="1" si="11"/>
        <v/>
      </c>
      <c r="Q106" s="81" t="str">
        <f t="shared" ca="1" si="12"/>
        <v/>
      </c>
      <c r="S106" s="83"/>
      <c r="T106" s="84"/>
      <c r="U106" s="83"/>
      <c r="V106" s="84"/>
    </row>
    <row r="107" spans="2:22" x14ac:dyDescent="0.25">
      <c r="B107" s="68" t="str">
        <f ca="1">IFERROR(INDEX('Points Lookup'!$A:$A,MATCH($AA109,'Points Lookup'!$AN:$AN,0)),"")</f>
        <v/>
      </c>
      <c r="C107" s="81" t="str">
        <f ca="1">IF(B107="","",SUMIF(INDIRECT("'Points Lookup'!"&amp;VLOOKUP($B$2,Grades!A:BU,72,FALSE)&amp;":"&amp;VLOOKUP($B$2,Grades!A:BU,72,FALSE)),B107,INDIRECT("'Points Lookup'!"&amp;VLOOKUP($B$2,Grades!A:BU,73,FALSE)&amp;":"&amp;VLOOKUP($B$2,Grades!A:BU,73,FALSE))))</f>
        <v/>
      </c>
      <c r="D107" s="81"/>
      <c r="E107" s="81"/>
      <c r="F107" s="81" t="str">
        <f ca="1">IF($B107="","",IF(SUMIF(Grades!$A:$A,$B$2,Grades!$BO:$BO)=0,"-",IF(AND(VLOOKUP($B$2,Grades!$A:$BV,74,FALSE)="YES",B107&lt;Thresholds_Rates!$C$16),"-",$C107*Thresholds_Rates!$F$15)))</f>
        <v/>
      </c>
      <c r="G107" s="81" t="str">
        <f ca="1">IF(B107="","",IF(OR($B$2="Salary Points 3 to 57",$B$2="Salary Points 3 to 57 (post-pay award)"),"-",IF(SUMIF(Grades!$A:$A,$B$2,Grades!$BP:$BP)=0,"-",$C107*Thresholds_Rates!$F$16)))</f>
        <v/>
      </c>
      <c r="H107" s="81" t="str">
        <f ca="1">IF(B107="","",IF($B$2="Apprenticeship","-",IF(SUMIF(Grades!$A:$A,$B$2,Grades!$BQ:$BQ)=0,"-",IF(AND(VLOOKUP($B$2,Grades!$A:$BW,75,FALSE)="YES",B107&gt;Thresholds_Rates!$C$17),"-",$C107*Thresholds_Rates!$F$17))))</f>
        <v/>
      </c>
      <c r="I107" s="81"/>
      <c r="J107" s="81" t="str">
        <f ca="1">IF(B107="","",(C107*Thresholds_Rates!$C$12))</f>
        <v/>
      </c>
      <c r="K107" s="81"/>
      <c r="L107" s="68"/>
      <c r="M107" s="81" t="str">
        <f t="shared" ca="1" si="8"/>
        <v/>
      </c>
      <c r="N107" s="81" t="str">
        <f t="shared" ca="1" si="9"/>
        <v/>
      </c>
      <c r="O107" s="81" t="str">
        <f t="shared" ca="1" si="10"/>
        <v/>
      </c>
      <c r="P107" s="81" t="str">
        <f t="shared" ca="1" si="11"/>
        <v/>
      </c>
      <c r="Q107" s="81" t="str">
        <f t="shared" ca="1" si="12"/>
        <v/>
      </c>
      <c r="S107" s="83"/>
      <c r="T107" s="84"/>
      <c r="U107" s="83"/>
      <c r="V107" s="84"/>
    </row>
    <row r="108" spans="2:22" x14ac:dyDescent="0.25">
      <c r="B108" s="68" t="str">
        <f ca="1">IFERROR(INDEX('Points Lookup'!$A:$A,MATCH($AA110,'Points Lookup'!$AN:$AN,0)),"")</f>
        <v/>
      </c>
      <c r="C108" s="81" t="str">
        <f ca="1">IF(B108="","",SUMIF(INDIRECT("'Points Lookup'!"&amp;VLOOKUP($B$2,Grades!A:BU,72,FALSE)&amp;":"&amp;VLOOKUP($B$2,Grades!A:BU,72,FALSE)),B108,INDIRECT("'Points Lookup'!"&amp;VLOOKUP($B$2,Grades!A:BU,73,FALSE)&amp;":"&amp;VLOOKUP($B$2,Grades!A:BU,73,FALSE))))</f>
        <v/>
      </c>
      <c r="D108" s="81"/>
      <c r="E108" s="81"/>
      <c r="F108" s="81" t="str">
        <f ca="1">IF($B108="","",IF(SUMIF(Grades!$A:$A,$B$2,Grades!$BO:$BO)=0,"-",IF(AND(VLOOKUP($B$2,Grades!$A:$BV,74,FALSE)="YES",B108&lt;Thresholds_Rates!$C$16),"-",$C108*Thresholds_Rates!$F$15)))</f>
        <v/>
      </c>
      <c r="G108" s="81" t="str">
        <f ca="1">IF(B108="","",IF(OR($B$2="Salary Points 3 to 57",$B$2="Salary Points 3 to 57 (post-pay award)"),"-",IF(SUMIF(Grades!$A:$A,$B$2,Grades!$BP:$BP)=0,"-",$C108*Thresholds_Rates!$F$16)))</f>
        <v/>
      </c>
      <c r="H108" s="81" t="str">
        <f ca="1">IF(B108="","",IF($B$2="Apprenticeship","-",IF(SUMIF(Grades!$A:$A,$B$2,Grades!$BQ:$BQ)=0,"-",IF(AND(VLOOKUP($B$2,Grades!$A:$BW,75,FALSE)="YES",B108&gt;Thresholds_Rates!$C$17),"-",$C108*Thresholds_Rates!$F$17))))</f>
        <v/>
      </c>
      <c r="I108" s="81"/>
      <c r="J108" s="81" t="str">
        <f ca="1">IF(B108="","",(C108*Thresholds_Rates!$C$12))</f>
        <v/>
      </c>
      <c r="K108" s="81"/>
      <c r="L108" s="68"/>
      <c r="M108" s="81" t="str">
        <f t="shared" ca="1" si="8"/>
        <v/>
      </c>
      <c r="N108" s="81" t="str">
        <f t="shared" ca="1" si="9"/>
        <v/>
      </c>
      <c r="O108" s="81" t="str">
        <f t="shared" ca="1" si="10"/>
        <v/>
      </c>
      <c r="P108" s="81" t="str">
        <f t="shared" ca="1" si="11"/>
        <v/>
      </c>
      <c r="Q108" s="81" t="str">
        <f t="shared" ca="1" si="12"/>
        <v/>
      </c>
      <c r="S108" s="83"/>
      <c r="T108" s="84"/>
      <c r="U108" s="83"/>
      <c r="V108" s="84"/>
    </row>
    <row r="109" spans="2:22" x14ac:dyDescent="0.25">
      <c r="B109" s="68" t="str">
        <f ca="1">IFERROR(INDEX('Points Lookup'!$A:$A,MATCH($AA111,'Points Lookup'!$AN:$AN,0)),"")</f>
        <v/>
      </c>
      <c r="C109" s="81" t="str">
        <f ca="1">IF(B109="","",SUMIF(INDIRECT("'Points Lookup'!"&amp;VLOOKUP($B$2,Grades!A:BU,72,FALSE)&amp;":"&amp;VLOOKUP($B$2,Grades!A:BU,72,FALSE)),B109,INDIRECT("'Points Lookup'!"&amp;VLOOKUP($B$2,Grades!A:BU,73,FALSE)&amp;":"&amp;VLOOKUP($B$2,Grades!A:BU,73,FALSE))))</f>
        <v/>
      </c>
      <c r="D109" s="81"/>
      <c r="E109" s="81"/>
      <c r="F109" s="81" t="str">
        <f ca="1">IF($B109="","",IF(SUMIF(Grades!$A:$A,$B$2,Grades!$BO:$BO)=0,"-",IF(AND(VLOOKUP($B$2,Grades!$A:$BV,74,FALSE)="YES",B109&lt;Thresholds_Rates!$C$16),"-",$C109*Thresholds_Rates!$F$15)))</f>
        <v/>
      </c>
      <c r="G109" s="81" t="str">
        <f ca="1">IF(B109="","",IF(OR($B$2="Salary Points 3 to 57",$B$2="Salary Points 3 to 57 (post-pay award)"),"-",IF(SUMIF(Grades!$A:$A,$B$2,Grades!$BP:$BP)=0,"-",$C109*Thresholds_Rates!$F$16)))</f>
        <v/>
      </c>
      <c r="H109" s="81" t="str">
        <f ca="1">IF(B109="","",IF($B$2="Apprenticeship","-",IF(SUMIF(Grades!$A:$A,$B$2,Grades!$BQ:$BQ)=0,"-",IF(AND(VLOOKUP($B$2,Grades!$A:$BW,75,FALSE)="YES",B109&gt;Thresholds_Rates!$C$17),"-",$C109*Thresholds_Rates!$F$17))))</f>
        <v/>
      </c>
      <c r="I109" s="81"/>
      <c r="J109" s="81" t="str">
        <f ca="1">IF(B109="","",(C109*Thresholds_Rates!$C$12))</f>
        <v/>
      </c>
      <c r="K109" s="81"/>
      <c r="L109" s="68"/>
      <c r="M109" s="81" t="str">
        <f t="shared" ca="1" si="8"/>
        <v/>
      </c>
      <c r="N109" s="81" t="str">
        <f t="shared" ca="1" si="9"/>
        <v/>
      </c>
      <c r="O109" s="81" t="str">
        <f t="shared" ca="1" si="10"/>
        <v/>
      </c>
      <c r="P109" s="81" t="str">
        <f t="shared" ca="1" si="11"/>
        <v/>
      </c>
      <c r="Q109" s="81" t="str">
        <f t="shared" ca="1" si="12"/>
        <v/>
      </c>
      <c r="S109" s="83"/>
      <c r="T109" s="84"/>
      <c r="U109" s="83"/>
      <c r="V109" s="84"/>
    </row>
    <row r="110" spans="2:22" x14ac:dyDescent="0.25">
      <c r="B110" s="68" t="str">
        <f ca="1">IFERROR(INDEX('Points Lookup'!$A:$A,MATCH($AA112,'Points Lookup'!$AN:$AN,0)),"")</f>
        <v/>
      </c>
      <c r="C110" s="81" t="str">
        <f ca="1">IF(B110="","",SUMIF(INDIRECT("'Points Lookup'!"&amp;VLOOKUP($B$2,Grades!A:BU,72,FALSE)&amp;":"&amp;VLOOKUP($B$2,Grades!A:BU,72,FALSE)),B110,INDIRECT("'Points Lookup'!"&amp;VLOOKUP($B$2,Grades!A:BU,73,FALSE)&amp;":"&amp;VLOOKUP($B$2,Grades!A:BU,73,FALSE))))</f>
        <v/>
      </c>
      <c r="D110" s="81"/>
      <c r="E110" s="81"/>
      <c r="F110" s="81" t="str">
        <f ca="1">IF($B110="","",IF(SUMIF(Grades!$A:$A,$B$2,Grades!$BO:$BO)=0,"-",IF(AND(VLOOKUP($B$2,Grades!$A:$BV,74,FALSE)="YES",B110&lt;Thresholds_Rates!$C$16),"-",$C110*Thresholds_Rates!$F$15)))</f>
        <v/>
      </c>
      <c r="G110" s="81" t="str">
        <f ca="1">IF(B110="","",IF(OR($B$2="Salary Points 3 to 57",$B$2="Salary Points 3 to 57 (post-pay award)"),"-",IF(SUMIF(Grades!$A:$A,$B$2,Grades!$BP:$BP)=0,"-",$C110*Thresholds_Rates!$F$16)))</f>
        <v/>
      </c>
      <c r="H110" s="81" t="str">
        <f ca="1">IF(B110="","",IF($B$2="Apprenticeship","-",IF(SUMIF(Grades!$A:$A,$B$2,Grades!$BQ:$BQ)=0,"-",IF(AND(VLOOKUP($B$2,Grades!$A:$BW,75,FALSE)="YES",B110&gt;Thresholds_Rates!$C$17),"-",$C110*Thresholds_Rates!$F$17))))</f>
        <v/>
      </c>
      <c r="I110" s="81"/>
      <c r="J110" s="81" t="str">
        <f ca="1">IF(B110="","",(C110*Thresholds_Rates!$C$12))</f>
        <v/>
      </c>
      <c r="K110" s="81"/>
      <c r="L110" s="68"/>
      <c r="M110" s="81" t="str">
        <f t="shared" ca="1" si="8"/>
        <v/>
      </c>
      <c r="N110" s="81" t="str">
        <f t="shared" ca="1" si="9"/>
        <v/>
      </c>
      <c r="O110" s="81" t="str">
        <f t="shared" ca="1" si="10"/>
        <v/>
      </c>
      <c r="P110" s="81" t="str">
        <f t="shared" ca="1" si="11"/>
        <v/>
      </c>
      <c r="Q110" s="81" t="str">
        <f t="shared" ca="1" si="12"/>
        <v/>
      </c>
      <c r="S110" s="83"/>
      <c r="T110" s="84"/>
      <c r="U110" s="83"/>
      <c r="V110" s="84"/>
    </row>
    <row r="111" spans="2:22" x14ac:dyDescent="0.25">
      <c r="B111" s="68" t="str">
        <f ca="1">IFERROR(INDEX('Points Lookup'!$A:$A,MATCH($AA113,'Points Lookup'!$AN:$AN,0)),"")</f>
        <v/>
      </c>
      <c r="C111" s="81" t="str">
        <f ca="1">IF(B111="","",SUMIF(INDIRECT("'Points Lookup'!"&amp;VLOOKUP($B$2,Grades!A:BU,72,FALSE)&amp;":"&amp;VLOOKUP($B$2,Grades!A:BU,72,FALSE)),B111,INDIRECT("'Points Lookup'!"&amp;VLOOKUP($B$2,Grades!A:BU,73,FALSE)&amp;":"&amp;VLOOKUP($B$2,Grades!A:BU,73,FALSE))))</f>
        <v/>
      </c>
      <c r="D111" s="81"/>
      <c r="E111" s="81"/>
      <c r="F111" s="81" t="str">
        <f ca="1">IF($B111="","",IF(SUMIF(Grades!$A:$A,$B$2,Grades!$BO:$BO)=0,"-",IF(AND(VLOOKUP($B$2,Grades!$A:$BV,74,FALSE)="YES",B111&lt;Thresholds_Rates!$C$16),"-",$C111*Thresholds_Rates!$F$15)))</f>
        <v/>
      </c>
      <c r="G111" s="81" t="str">
        <f ca="1">IF(B111="","",IF(OR($B$2="Salary Points 3 to 57",$B$2="Salary Points 3 to 57 (post-pay award)"),"-",IF(SUMIF(Grades!$A:$A,$B$2,Grades!$BP:$BP)=0,"-",$C111*Thresholds_Rates!$F$16)))</f>
        <v/>
      </c>
      <c r="H111" s="81" t="str">
        <f ca="1">IF(B111="","",IF($B$2="Apprenticeship","-",IF(SUMIF(Grades!$A:$A,$B$2,Grades!$BQ:$BQ)=0,"-",IF(AND(VLOOKUP($B$2,Grades!$A:$BW,75,FALSE)="YES",B111&gt;Thresholds_Rates!$C$17),"-",$C111*Thresholds_Rates!$F$17))))</f>
        <v/>
      </c>
      <c r="I111" s="81"/>
      <c r="J111" s="81" t="str">
        <f ca="1">IF(B111="","",(C111*Thresholds_Rates!$C$12))</f>
        <v/>
      </c>
      <c r="K111" s="81"/>
      <c r="L111" s="68"/>
      <c r="M111" s="81" t="str">
        <f t="shared" ca="1" si="8"/>
        <v/>
      </c>
      <c r="N111" s="81" t="str">
        <f t="shared" ca="1" si="9"/>
        <v/>
      </c>
      <c r="O111" s="81" t="str">
        <f t="shared" ca="1" si="10"/>
        <v/>
      </c>
      <c r="P111" s="81" t="str">
        <f t="shared" ca="1" si="11"/>
        <v/>
      </c>
      <c r="Q111" s="81" t="str">
        <f t="shared" ca="1" si="12"/>
        <v/>
      </c>
      <c r="S111" s="83"/>
      <c r="T111" s="84"/>
      <c r="U111" s="83"/>
      <c r="V111" s="84"/>
    </row>
    <row r="112" spans="2:22" x14ac:dyDescent="0.25">
      <c r="B112" s="68" t="str">
        <f ca="1">IFERROR(INDEX('Points Lookup'!$A:$A,MATCH($AA114,'Points Lookup'!$AN:$AN,0)),"")</f>
        <v/>
      </c>
      <c r="C112" s="81" t="str">
        <f ca="1">IF(B112="","",SUMIF(INDIRECT("'Points Lookup'!"&amp;VLOOKUP($B$2,Grades!A:BU,72,FALSE)&amp;":"&amp;VLOOKUP($B$2,Grades!A:BU,72,FALSE)),B112,INDIRECT("'Points Lookup'!"&amp;VLOOKUP($B$2,Grades!A:BU,73,FALSE)&amp;":"&amp;VLOOKUP($B$2,Grades!A:BU,73,FALSE))))</f>
        <v/>
      </c>
      <c r="D112" s="81"/>
      <c r="E112" s="81"/>
      <c r="F112" s="81" t="str">
        <f ca="1">IF($B112="","",IF(SUMIF(Grades!$A:$A,$B$2,Grades!$BO:$BO)=0,"-",IF(AND(VLOOKUP($B$2,Grades!$A:$BV,74,FALSE)="YES",B112&lt;Thresholds_Rates!$C$16),"-",$C112*Thresholds_Rates!$F$15)))</f>
        <v/>
      </c>
      <c r="G112" s="81" t="str">
        <f ca="1">IF(B112="","",IF(OR($B$2="Salary Points 3 to 57",$B$2="Salary Points 3 to 57 (post-pay award)"),"-",IF(SUMIF(Grades!$A:$A,$B$2,Grades!$BP:$BP)=0,"-",$C112*Thresholds_Rates!$F$16)))</f>
        <v/>
      </c>
      <c r="H112" s="81" t="str">
        <f ca="1">IF(B112="","",IF($B$2="Apprenticeship","-",IF(SUMIF(Grades!$A:$A,$B$2,Grades!$BQ:$BQ)=0,"-",IF(AND(VLOOKUP($B$2,Grades!$A:$BW,75,FALSE)="YES",B112&gt;Thresholds_Rates!$C$17),"-",$C112*Thresholds_Rates!$F$17))))</f>
        <v/>
      </c>
      <c r="I112" s="81"/>
      <c r="J112" s="81" t="str">
        <f ca="1">IF(B112="","",(C112*Thresholds_Rates!$C$12))</f>
        <v/>
      </c>
      <c r="K112" s="81"/>
      <c r="L112" s="68"/>
      <c r="M112" s="81" t="str">
        <f t="shared" ca="1" si="8"/>
        <v/>
      </c>
      <c r="N112" s="81" t="str">
        <f t="shared" ca="1" si="9"/>
        <v/>
      </c>
      <c r="O112" s="81" t="str">
        <f t="shared" ca="1" si="10"/>
        <v/>
      </c>
      <c r="P112" s="81" t="str">
        <f t="shared" ca="1" si="11"/>
        <v/>
      </c>
      <c r="Q112" s="81" t="str">
        <f t="shared" ca="1" si="12"/>
        <v/>
      </c>
      <c r="S112" s="83"/>
      <c r="T112" s="84"/>
      <c r="U112" s="83"/>
      <c r="V112" s="84"/>
    </row>
    <row r="113" spans="2:22" x14ac:dyDescent="0.25">
      <c r="B113" s="68" t="str">
        <f ca="1">IFERROR(INDEX('Points Lookup'!$A:$A,MATCH($AA115,'Points Lookup'!$AN:$AN,0)),"")</f>
        <v/>
      </c>
      <c r="C113" s="81" t="str">
        <f ca="1">IF(B113="","",SUMIF(INDIRECT("'Points Lookup'!"&amp;VLOOKUP($B$2,Grades!A:BU,72,FALSE)&amp;":"&amp;VLOOKUP($B$2,Grades!A:BU,72,FALSE)),B113,INDIRECT("'Points Lookup'!"&amp;VLOOKUP($B$2,Grades!A:BU,73,FALSE)&amp;":"&amp;VLOOKUP($B$2,Grades!A:BU,73,FALSE))))</f>
        <v/>
      </c>
      <c r="D113" s="81"/>
      <c r="E113" s="81"/>
      <c r="F113" s="81" t="str">
        <f ca="1">IF($B113="","",IF(SUMIF(Grades!$A:$A,$B$2,Grades!$BO:$BO)=0,"-",IF(AND(VLOOKUP($B$2,Grades!$A:$BV,74,FALSE)="YES",B113&lt;Thresholds_Rates!$C$16),"-",$C113*Thresholds_Rates!$F$15)))</f>
        <v/>
      </c>
      <c r="G113" s="81" t="str">
        <f ca="1">IF(B113="","",IF(OR($B$2="Salary Points 3 to 57",$B$2="Salary Points 3 to 57 (post-pay award)"),"-",IF(SUMIF(Grades!$A:$A,$B$2,Grades!$BP:$BP)=0,"-",$C113*Thresholds_Rates!$F$16)))</f>
        <v/>
      </c>
      <c r="H113" s="81" t="str">
        <f ca="1">IF(B113="","",IF($B$2="Apprenticeship","-",IF(SUMIF(Grades!$A:$A,$B$2,Grades!$BQ:$BQ)=0,"-",IF(AND(VLOOKUP($B$2,Grades!$A:$BW,75,FALSE)="YES",B113&gt;Thresholds_Rates!$C$17),"-",$C113*Thresholds_Rates!$F$17))))</f>
        <v/>
      </c>
      <c r="I113" s="81"/>
      <c r="J113" s="81" t="str">
        <f ca="1">IF(B113="","",(C113*Thresholds_Rates!$C$12))</f>
        <v/>
      </c>
      <c r="K113" s="81"/>
      <c r="L113" s="68"/>
      <c r="M113" s="81" t="str">
        <f t="shared" ca="1" si="8"/>
        <v/>
      </c>
      <c r="N113" s="81" t="str">
        <f t="shared" ca="1" si="9"/>
        <v/>
      </c>
      <c r="O113" s="81" t="str">
        <f t="shared" ca="1" si="10"/>
        <v/>
      </c>
      <c r="P113" s="81" t="str">
        <f t="shared" ca="1" si="11"/>
        <v/>
      </c>
      <c r="Q113" s="81" t="str">
        <f t="shared" ca="1" si="12"/>
        <v/>
      </c>
      <c r="S113" s="83"/>
      <c r="T113" s="84"/>
      <c r="U113" s="83"/>
      <c r="V113" s="84"/>
    </row>
    <row r="114" spans="2:22" x14ac:dyDescent="0.25">
      <c r="B114" s="68" t="str">
        <f ca="1">IFERROR(INDEX('Points Lookup'!$A:$A,MATCH($AA116,'Points Lookup'!$AN:$AN,0)),"")</f>
        <v/>
      </c>
      <c r="C114" s="81" t="str">
        <f ca="1">IF(B114="","",SUMIF(INDIRECT("'Points Lookup'!"&amp;VLOOKUP($B$2,Grades!A:BU,72,FALSE)&amp;":"&amp;VLOOKUP($B$2,Grades!A:BU,72,FALSE)),B114,INDIRECT("'Points Lookup'!"&amp;VLOOKUP($B$2,Grades!A:BU,73,FALSE)&amp;":"&amp;VLOOKUP($B$2,Grades!A:BU,73,FALSE))))</f>
        <v/>
      </c>
      <c r="D114" s="81"/>
      <c r="E114" s="81"/>
      <c r="F114" s="81" t="str">
        <f ca="1">IF($B114="","",IF(SUMIF(Grades!$A:$A,$B$2,Grades!$BO:$BO)=0,"-",IF(AND(VLOOKUP($B$2,Grades!$A:$BV,74,FALSE)="YES",B114&lt;Thresholds_Rates!$C$16),"-",$C114*Thresholds_Rates!$F$15)))</f>
        <v/>
      </c>
      <c r="G114" s="81" t="str">
        <f ca="1">IF(B114="","",IF(OR($B$2="Salary Points 3 to 57",$B$2="Salary Points 3 to 57 (post-pay award)"),"-",IF(SUMIF(Grades!$A:$A,$B$2,Grades!$BP:$BP)=0,"-",$C114*Thresholds_Rates!$F$16)))</f>
        <v/>
      </c>
      <c r="H114" s="81" t="str">
        <f ca="1">IF(B114="","",IF($B$2="Apprenticeship","-",IF(SUMIF(Grades!$A:$A,$B$2,Grades!$BQ:$BQ)=0,"-",IF(AND(VLOOKUP($B$2,Grades!$A:$BW,75,FALSE)="YES",B114&gt;Thresholds_Rates!$C$17),"-",$C114*Thresholds_Rates!$F$17))))</f>
        <v/>
      </c>
      <c r="I114" s="81"/>
      <c r="J114" s="81" t="str">
        <f ca="1">IF(B114="","",(C114*Thresholds_Rates!$C$12))</f>
        <v/>
      </c>
      <c r="K114" s="81"/>
      <c r="L114" s="68"/>
      <c r="M114" s="81" t="str">
        <f t="shared" ca="1" si="8"/>
        <v/>
      </c>
      <c r="N114" s="81" t="str">
        <f t="shared" ca="1" si="9"/>
        <v/>
      </c>
      <c r="O114" s="81" t="str">
        <f t="shared" ca="1" si="10"/>
        <v/>
      </c>
      <c r="P114" s="81" t="str">
        <f t="shared" ca="1" si="11"/>
        <v/>
      </c>
      <c r="Q114" s="81" t="str">
        <f t="shared" ca="1" si="12"/>
        <v/>
      </c>
      <c r="S114" s="83"/>
      <c r="T114" s="84"/>
      <c r="U114" s="83"/>
      <c r="V114" s="84"/>
    </row>
    <row r="115" spans="2:22" x14ac:dyDescent="0.25">
      <c r="B115" s="68" t="str">
        <f ca="1">IFERROR(INDEX('Points Lookup'!$A:$A,MATCH($AA117,'Points Lookup'!$AN:$AN,0)),"")</f>
        <v/>
      </c>
      <c r="C115" s="81" t="str">
        <f ca="1">IF(B115="","",SUMIF(INDIRECT("'Points Lookup'!"&amp;VLOOKUP($B$2,Grades!A:BU,72,FALSE)&amp;":"&amp;VLOOKUP($B$2,Grades!A:BU,72,FALSE)),B115,INDIRECT("'Points Lookup'!"&amp;VLOOKUP($B$2,Grades!A:BU,73,FALSE)&amp;":"&amp;VLOOKUP($B$2,Grades!A:BU,73,FALSE))))</f>
        <v/>
      </c>
      <c r="D115" s="81"/>
      <c r="E115" s="81"/>
      <c r="F115" s="81" t="str">
        <f ca="1">IF($B115="","",IF(SUMIF(Grades!$A:$A,$B$2,Grades!$BO:$BO)=0,"-",IF(AND(VLOOKUP($B$2,Grades!$A:$BV,74,FALSE)="YES",B115&lt;Thresholds_Rates!$C$16),"-",$C115*Thresholds_Rates!$F$15)))</f>
        <v/>
      </c>
      <c r="G115" s="81" t="str">
        <f ca="1">IF(B115="","",IF(OR($B$2="Salary Points 3 to 57",$B$2="Salary Points 3 to 57 (post-pay award)"),"-",IF(SUMIF(Grades!$A:$A,$B$2,Grades!$BP:$BP)=0,"-",$C115*Thresholds_Rates!$F$16)))</f>
        <v/>
      </c>
      <c r="H115" s="81" t="str">
        <f ca="1">IF(B115="","",IF($B$2="Apprenticeship","-",IF(SUMIF(Grades!$A:$A,$B$2,Grades!$BQ:$BQ)=0,"-",IF(AND(VLOOKUP($B$2,Grades!$A:$BW,75,FALSE)="YES",B115&gt;Thresholds_Rates!$C$17),"-",$C115*Thresholds_Rates!$F$17))))</f>
        <v/>
      </c>
      <c r="I115" s="81"/>
      <c r="J115" s="81" t="str">
        <f ca="1">IF(B115="","",(C115*Thresholds_Rates!$C$12))</f>
        <v/>
      </c>
      <c r="K115" s="81"/>
      <c r="L115" s="68"/>
      <c r="M115" s="81" t="str">
        <f t="shared" ca="1" si="8"/>
        <v/>
      </c>
      <c r="N115" s="81" t="str">
        <f t="shared" ca="1" si="9"/>
        <v/>
      </c>
      <c r="O115" s="81" t="str">
        <f t="shared" ca="1" si="10"/>
        <v/>
      </c>
      <c r="P115" s="81" t="str">
        <f t="shared" ca="1" si="11"/>
        <v/>
      </c>
      <c r="Q115" s="81" t="str">
        <f t="shared" ca="1" si="12"/>
        <v/>
      </c>
      <c r="S115" s="83"/>
      <c r="T115" s="84"/>
      <c r="U115" s="83"/>
      <c r="V115" s="84"/>
    </row>
    <row r="116" spans="2:22" x14ac:dyDescent="0.25">
      <c r="B116" s="68" t="str">
        <f ca="1">IFERROR(INDEX('Points Lookup'!$A:$A,MATCH($AA118,'Points Lookup'!$AN:$AN,0)),"")</f>
        <v/>
      </c>
      <c r="C116" s="81" t="str">
        <f ca="1">IF(B116="","",SUMIF(INDIRECT("'Points Lookup'!"&amp;VLOOKUP($B$2,Grades!A:BU,72,FALSE)&amp;":"&amp;VLOOKUP($B$2,Grades!A:BU,72,FALSE)),B116,INDIRECT("'Points Lookup'!"&amp;VLOOKUP($B$2,Grades!A:BU,73,FALSE)&amp;":"&amp;VLOOKUP($B$2,Grades!A:BU,73,FALSE))))</f>
        <v/>
      </c>
      <c r="D116" s="81"/>
      <c r="E116" s="81"/>
      <c r="F116" s="81" t="str">
        <f ca="1">IF($B116="","",IF(SUMIF(Grades!$A:$A,$B$2,Grades!$BO:$BO)=0,"-",IF(AND(VLOOKUP($B$2,Grades!$A:$BV,74,FALSE)="YES",B116&lt;Thresholds_Rates!$C$16),"-",$C116*Thresholds_Rates!$F$15)))</f>
        <v/>
      </c>
      <c r="G116" s="81" t="str">
        <f ca="1">IF(B116="","",IF(OR($B$2="Salary Points 3 to 57",$B$2="Salary Points 3 to 57 (post-pay award)"),"-",IF(SUMIF(Grades!$A:$A,$B$2,Grades!$BP:$BP)=0,"-",$C116*Thresholds_Rates!$F$16)))</f>
        <v/>
      </c>
      <c r="H116" s="81" t="str">
        <f ca="1">IF(B116="","",IF($B$2="Apprenticeship","-",IF(SUMIF(Grades!$A:$A,$B$2,Grades!$BQ:$BQ)=0,"-",IF(AND(VLOOKUP($B$2,Grades!$A:$BW,75,FALSE)="YES",B116&gt;Thresholds_Rates!$C$17),"-",$C116*Thresholds_Rates!$F$17))))</f>
        <v/>
      </c>
      <c r="I116" s="81"/>
      <c r="J116" s="81" t="str">
        <f ca="1">IF(B116="","",(C116*Thresholds_Rates!$C$12))</f>
        <v/>
      </c>
      <c r="K116" s="81"/>
      <c r="L116" s="68"/>
      <c r="M116" s="81" t="str">
        <f t="shared" ca="1" si="8"/>
        <v/>
      </c>
      <c r="N116" s="81" t="str">
        <f t="shared" ca="1" si="9"/>
        <v/>
      </c>
      <c r="O116" s="81" t="str">
        <f t="shared" ca="1" si="10"/>
        <v/>
      </c>
      <c r="P116" s="81" t="str">
        <f t="shared" ca="1" si="11"/>
        <v/>
      </c>
      <c r="Q116" s="81" t="str">
        <f t="shared" ca="1" si="12"/>
        <v/>
      </c>
      <c r="S116" s="83"/>
      <c r="T116" s="84"/>
      <c r="U116" s="83"/>
      <c r="V116" s="84"/>
    </row>
    <row r="117" spans="2:22" x14ac:dyDescent="0.25">
      <c r="B117" s="68" t="str">
        <f ca="1">IFERROR(INDEX('Points Lookup'!$A:$A,MATCH($AA119,'Points Lookup'!$AN:$AN,0)),"")</f>
        <v/>
      </c>
      <c r="C117" s="81" t="str">
        <f ca="1">IF(B117="","",SUMIF(INDIRECT("'Points Lookup'!"&amp;VLOOKUP($B$2,Grades!A:BU,72,FALSE)&amp;":"&amp;VLOOKUP($B$2,Grades!A:BU,72,FALSE)),B117,INDIRECT("'Points Lookup'!"&amp;VLOOKUP($B$2,Grades!A:BU,73,FALSE)&amp;":"&amp;VLOOKUP($B$2,Grades!A:BU,73,FALSE))))</f>
        <v/>
      </c>
      <c r="D117" s="81"/>
      <c r="E117" s="81"/>
      <c r="F117" s="81" t="str">
        <f ca="1">IF($B117="","",IF(SUMIF(Grades!$A:$A,$B$2,Grades!$BO:$BO)=0,"-",IF(AND(VLOOKUP($B$2,Grades!$A:$BV,74,FALSE)="YES",B117&lt;Thresholds_Rates!$C$16),"-",$C117*Thresholds_Rates!$F$15)))</f>
        <v/>
      </c>
      <c r="G117" s="81" t="str">
        <f ca="1">IF(B117="","",IF(OR($B$2="Salary Points 3 to 57",$B$2="Salary Points 3 to 57 (post-pay award)"),"-",IF(SUMIF(Grades!$A:$A,$B$2,Grades!$BP:$BP)=0,"-",$C117*Thresholds_Rates!$F$16)))</f>
        <v/>
      </c>
      <c r="H117" s="81" t="str">
        <f ca="1">IF(B117="","",IF($B$2="Apprenticeship","-",IF(SUMIF(Grades!$A:$A,$B$2,Grades!$BQ:$BQ)=0,"-",IF(AND(VLOOKUP($B$2,Grades!$A:$BW,75,FALSE)="YES",B117&gt;Thresholds_Rates!$C$17),"-",$C117*Thresholds_Rates!$F$17))))</f>
        <v/>
      </c>
      <c r="I117" s="81"/>
      <c r="J117" s="81" t="str">
        <f ca="1">IF(B117="","",(C117*Thresholds_Rates!$C$12))</f>
        <v/>
      </c>
      <c r="K117" s="81"/>
      <c r="L117" s="68"/>
      <c r="M117" s="81" t="str">
        <f t="shared" ca="1" si="8"/>
        <v/>
      </c>
      <c r="N117" s="81" t="str">
        <f t="shared" ca="1" si="9"/>
        <v/>
      </c>
      <c r="O117" s="81" t="str">
        <f t="shared" ca="1" si="10"/>
        <v/>
      </c>
      <c r="P117" s="81" t="str">
        <f t="shared" ca="1" si="11"/>
        <v/>
      </c>
      <c r="Q117" s="81" t="str">
        <f t="shared" ca="1" si="12"/>
        <v/>
      </c>
      <c r="S117" s="83"/>
      <c r="T117" s="84"/>
      <c r="U117" s="83"/>
      <c r="V117" s="84"/>
    </row>
    <row r="118" spans="2:22" x14ac:dyDescent="0.25">
      <c r="B118" s="68" t="str">
        <f ca="1">IFERROR(INDEX('Points Lookup'!$A:$A,MATCH($AA120,'Points Lookup'!$AN:$AN,0)),"")</f>
        <v/>
      </c>
      <c r="C118" s="81" t="str">
        <f ca="1">IF(B118="","",SUMIF(INDIRECT("'Points Lookup'!"&amp;VLOOKUP($B$2,Grades!A:BU,72,FALSE)&amp;":"&amp;VLOOKUP($B$2,Grades!A:BU,72,FALSE)),B118,INDIRECT("'Points Lookup'!"&amp;VLOOKUP($B$2,Grades!A:BU,73,FALSE)&amp;":"&amp;VLOOKUP($B$2,Grades!A:BU,73,FALSE))))</f>
        <v/>
      </c>
      <c r="D118" s="81"/>
      <c r="E118" s="81"/>
      <c r="F118" s="81" t="str">
        <f ca="1">IF($B118="","",IF(SUMIF(Grades!$A:$A,$B$2,Grades!$BO:$BO)=0,"-",IF(AND(VLOOKUP($B$2,Grades!$A:$BV,74,FALSE)="YES",B118&lt;Thresholds_Rates!$C$16),"-",$C118*Thresholds_Rates!$F$15)))</f>
        <v/>
      </c>
      <c r="G118" s="81" t="str">
        <f ca="1">IF(B118="","",IF(OR($B$2="Salary Points 3 to 57",$B$2="Salary Points 3 to 57 (post-pay award)"),"-",IF(SUMIF(Grades!$A:$A,$B$2,Grades!$BP:$BP)=0,"-",$C118*Thresholds_Rates!$F$16)))</f>
        <v/>
      </c>
      <c r="H118" s="81" t="str">
        <f ca="1">IF(B118="","",IF($B$2="Apprenticeship","-",IF(SUMIF(Grades!$A:$A,$B$2,Grades!$BQ:$BQ)=0,"-",IF(AND(VLOOKUP($B$2,Grades!$A:$BW,75,FALSE)="YES",B118&gt;Thresholds_Rates!$C$17),"-",$C118*Thresholds_Rates!$F$17))))</f>
        <v/>
      </c>
      <c r="I118" s="81"/>
      <c r="J118" s="81" t="str">
        <f ca="1">IF(B118="","",(C118*Thresholds_Rates!$C$12))</f>
        <v/>
      </c>
      <c r="K118" s="81"/>
      <c r="L118" s="68"/>
      <c r="M118" s="81" t="str">
        <f t="shared" ca="1" si="8"/>
        <v/>
      </c>
      <c r="N118" s="81" t="str">
        <f t="shared" ca="1" si="9"/>
        <v/>
      </c>
      <c r="O118" s="81" t="str">
        <f t="shared" ca="1" si="10"/>
        <v/>
      </c>
      <c r="P118" s="81" t="str">
        <f t="shared" ca="1" si="11"/>
        <v/>
      </c>
      <c r="Q118" s="81" t="str">
        <f t="shared" ca="1" si="12"/>
        <v/>
      </c>
      <c r="S118" s="83"/>
      <c r="T118" s="84"/>
      <c r="U118" s="83"/>
      <c r="V118" s="84"/>
    </row>
    <row r="119" spans="2:22" x14ac:dyDescent="0.25">
      <c r="B119" s="68" t="str">
        <f ca="1">IFERROR(INDEX('Points Lookup'!$A:$A,MATCH($AA121,'Points Lookup'!$AN:$AN,0)),"")</f>
        <v/>
      </c>
      <c r="C119" s="81" t="str">
        <f ca="1">IF(B119="","",SUMIF(INDIRECT("'Points Lookup'!"&amp;VLOOKUP($B$2,Grades!A:BU,72,FALSE)&amp;":"&amp;VLOOKUP($B$2,Grades!A:BU,72,FALSE)),B119,INDIRECT("'Points Lookup'!"&amp;VLOOKUP($B$2,Grades!A:BU,73,FALSE)&amp;":"&amp;VLOOKUP($B$2,Grades!A:BU,73,FALSE))))</f>
        <v/>
      </c>
      <c r="D119" s="81"/>
      <c r="E119" s="81"/>
      <c r="F119" s="81" t="str">
        <f ca="1">IF($B119="","",IF(SUMIF(Grades!$A:$A,$B$2,Grades!$BO:$BO)=0,"-",IF(AND(VLOOKUP($B$2,Grades!$A:$BV,74,FALSE)="YES",B119&lt;Thresholds_Rates!$C$16),"-",$C119*Thresholds_Rates!$F$15)))</f>
        <v/>
      </c>
      <c r="G119" s="81" t="str">
        <f ca="1">IF(B119="","",IF(OR($B$2="Salary Points 3 to 57",$B$2="Salary Points 3 to 57 (post-pay award)"),"-",IF(SUMIF(Grades!$A:$A,$B$2,Grades!$BP:$BP)=0,"-",$C119*Thresholds_Rates!$F$16)))</f>
        <v/>
      </c>
      <c r="H119" s="81" t="str">
        <f ca="1">IF(B119="","",IF($B$2="Apprenticeship","-",IF(SUMIF(Grades!$A:$A,$B$2,Grades!$BQ:$BQ)=0,"-",IF(AND(VLOOKUP($B$2,Grades!$A:$BW,75,FALSE)="YES",B119&gt;Thresholds_Rates!$C$17),"-",$C119*Thresholds_Rates!$F$17))))</f>
        <v/>
      </c>
      <c r="I119" s="81"/>
      <c r="J119" s="81" t="str">
        <f ca="1">IF(B119="","",(C119*Thresholds_Rates!$C$12))</f>
        <v/>
      </c>
      <c r="K119" s="81"/>
      <c r="L119" s="68"/>
      <c r="M119" s="81" t="str">
        <f t="shared" ca="1" si="8"/>
        <v/>
      </c>
      <c r="N119" s="81" t="str">
        <f t="shared" ca="1" si="9"/>
        <v/>
      </c>
      <c r="O119" s="81" t="str">
        <f t="shared" ca="1" si="10"/>
        <v/>
      </c>
      <c r="P119" s="81" t="str">
        <f t="shared" ca="1" si="11"/>
        <v/>
      </c>
      <c r="Q119" s="81" t="str">
        <f t="shared" ca="1" si="12"/>
        <v/>
      </c>
      <c r="S119" s="83"/>
      <c r="T119" s="84"/>
      <c r="U119" s="83"/>
      <c r="V119" s="84"/>
    </row>
    <row r="120" spans="2:22" x14ac:dyDescent="0.25">
      <c r="B120" s="68" t="str">
        <f ca="1">IFERROR(INDEX('Points Lookup'!$A:$A,MATCH($AA122,'Points Lookup'!$AN:$AN,0)),"")</f>
        <v/>
      </c>
      <c r="C120" s="81" t="str">
        <f ca="1">IF(B120="","",SUMIF(INDIRECT("'Points Lookup'!"&amp;VLOOKUP($B$2,Grades!A:BU,72,FALSE)&amp;":"&amp;VLOOKUP($B$2,Grades!A:BU,72,FALSE)),B120,INDIRECT("'Points Lookup'!"&amp;VLOOKUP($B$2,Grades!A:BU,73,FALSE)&amp;":"&amp;VLOOKUP($B$2,Grades!A:BU,73,FALSE))))</f>
        <v/>
      </c>
      <c r="D120" s="81"/>
      <c r="E120" s="81"/>
      <c r="F120" s="81" t="str">
        <f ca="1">IF($B120="","",IF(SUMIF(Grades!$A:$A,$B$2,Grades!$BO:$BO)=0,"-",IF(AND(VLOOKUP($B$2,Grades!$A:$BV,74,FALSE)="YES",B120&lt;Thresholds_Rates!$C$16),"-",$C120*Thresholds_Rates!$F$15)))</f>
        <v/>
      </c>
      <c r="G120" s="81" t="str">
        <f ca="1">IF(B120="","",IF(OR($B$2="Salary Points 3 to 57",$B$2="Salary Points 3 to 57 (post-pay award)"),"-",IF(SUMIF(Grades!$A:$A,$B$2,Grades!$BP:$BP)=0,"-",$C120*Thresholds_Rates!$F$16)))</f>
        <v/>
      </c>
      <c r="H120" s="81" t="str">
        <f ca="1">IF(B120="","",IF($B$2="Apprenticeship","-",IF(SUMIF(Grades!$A:$A,$B$2,Grades!$BQ:$BQ)=0,"-",IF(AND(VLOOKUP($B$2,Grades!$A:$BW,75,FALSE)="YES",B120&gt;Thresholds_Rates!$C$17),"-",$C120*Thresholds_Rates!$F$17))))</f>
        <v/>
      </c>
      <c r="I120" s="81"/>
      <c r="J120" s="81" t="str">
        <f ca="1">IF(B120="","",(C120*Thresholds_Rates!$C$12))</f>
        <v/>
      </c>
      <c r="K120" s="81"/>
      <c r="L120" s="68"/>
      <c r="M120" s="81" t="str">
        <f t="shared" ca="1" si="8"/>
        <v/>
      </c>
      <c r="N120" s="81" t="str">
        <f t="shared" ca="1" si="9"/>
        <v/>
      </c>
      <c r="O120" s="81" t="str">
        <f t="shared" ca="1" si="10"/>
        <v/>
      </c>
      <c r="P120" s="81" t="str">
        <f t="shared" ca="1" si="11"/>
        <v/>
      </c>
      <c r="Q120" s="81" t="str">
        <f t="shared" ca="1" si="12"/>
        <v/>
      </c>
      <c r="S120" s="83"/>
      <c r="T120" s="84"/>
      <c r="U120" s="83"/>
      <c r="V120" s="84"/>
    </row>
    <row r="121" spans="2:22" x14ac:dyDescent="0.25">
      <c r="B121" s="68" t="str">
        <f ca="1">IFERROR(INDEX('Points Lookup'!$A:$A,MATCH($AA123,'Points Lookup'!$AN:$AN,0)),"")</f>
        <v/>
      </c>
      <c r="C121" s="81" t="str">
        <f ca="1">IF(B121="","",SUMIF(INDIRECT("'Points Lookup'!"&amp;VLOOKUP($B$2,Grades!A:BU,72,FALSE)&amp;":"&amp;VLOOKUP($B$2,Grades!A:BU,72,FALSE)),B121,INDIRECT("'Points Lookup'!"&amp;VLOOKUP($B$2,Grades!A:BU,73,FALSE)&amp;":"&amp;VLOOKUP($B$2,Grades!A:BU,73,FALSE))))</f>
        <v/>
      </c>
      <c r="D121" s="81"/>
      <c r="E121" s="81"/>
      <c r="F121" s="81" t="str">
        <f ca="1">IF($B121="","",IF(SUMIF(Grades!$A:$A,$B$2,Grades!$BO:$BO)=0,"-",IF(AND(VLOOKUP($B$2,Grades!$A:$BV,74,FALSE)="YES",B121&lt;Thresholds_Rates!$C$16),"-",$C121*Thresholds_Rates!$F$15)))</f>
        <v/>
      </c>
      <c r="G121" s="81" t="str">
        <f ca="1">IF(B121="","",IF(OR($B$2="Salary Points 3 to 57",$B$2="Salary Points 3 to 57 (post-pay award)"),"-",IF(SUMIF(Grades!$A:$A,$B$2,Grades!$BP:$BP)=0,"-",$C121*Thresholds_Rates!$F$16)))</f>
        <v/>
      </c>
      <c r="H121" s="81" t="str">
        <f ca="1">IF(B121="","",IF($B$2="Apprenticeship","-",IF(SUMIF(Grades!$A:$A,$B$2,Grades!$BQ:$BQ)=0,"-",IF(AND(VLOOKUP($B$2,Grades!$A:$BW,75,FALSE)="YES",B121&gt;Thresholds_Rates!$C$17),"-",$C121*Thresholds_Rates!$F$17))))</f>
        <v/>
      </c>
      <c r="I121" s="81"/>
      <c r="J121" s="81" t="str">
        <f ca="1">IF(B121="","",(C121*Thresholds_Rates!$C$12))</f>
        <v/>
      </c>
      <c r="K121" s="81"/>
      <c r="L121" s="68"/>
      <c r="M121" s="81" t="str">
        <f t="shared" ca="1" si="8"/>
        <v/>
      </c>
      <c r="N121" s="81" t="str">
        <f t="shared" ca="1" si="9"/>
        <v/>
      </c>
      <c r="O121" s="81" t="str">
        <f t="shared" ca="1" si="10"/>
        <v/>
      </c>
      <c r="P121" s="81" t="str">
        <f t="shared" ca="1" si="11"/>
        <v/>
      </c>
      <c r="Q121" s="81" t="str">
        <f t="shared" ca="1" si="12"/>
        <v/>
      </c>
      <c r="S121" s="83"/>
      <c r="T121" s="84"/>
      <c r="U121" s="83"/>
      <c r="V121" s="84"/>
    </row>
    <row r="122" spans="2:22" x14ac:dyDescent="0.25">
      <c r="B122" s="68" t="str">
        <f ca="1">IFERROR(INDEX('Points Lookup'!$A:$A,MATCH($AA124,'Points Lookup'!$AN:$AN,0)),"")</f>
        <v/>
      </c>
      <c r="C122" s="81" t="str">
        <f ca="1">IF(B122="","",SUMIF(INDIRECT("'Points Lookup'!"&amp;VLOOKUP($B$2,Grades!A:BU,72,FALSE)&amp;":"&amp;VLOOKUP($B$2,Grades!A:BU,72,FALSE)),B122,INDIRECT("'Points Lookup'!"&amp;VLOOKUP($B$2,Grades!A:BU,73,FALSE)&amp;":"&amp;VLOOKUP($B$2,Grades!A:BU,73,FALSE))))</f>
        <v/>
      </c>
      <c r="D122" s="81"/>
      <c r="E122" s="81"/>
      <c r="F122" s="81" t="str">
        <f ca="1">IF($B122="","",IF(SUMIF(Grades!$A:$A,$B$2,Grades!$BO:$BO)=0,"-",IF(AND(VLOOKUP($B$2,Grades!$A:$BV,74,FALSE)="YES",B122&lt;Thresholds_Rates!$C$16),"-",$C122*Thresholds_Rates!$F$15)))</f>
        <v/>
      </c>
      <c r="G122" s="81" t="str">
        <f ca="1">IF(B122="","",IF(OR($B$2="Salary Points 3 to 57",$B$2="Salary Points 3 to 57 (post-pay award)"),"-",IF(SUMIF(Grades!$A:$A,$B$2,Grades!$BP:$BP)=0,"-",$C122*Thresholds_Rates!$F$16)))</f>
        <v/>
      </c>
      <c r="H122" s="81" t="str">
        <f ca="1">IF(B122="","",IF($B$2="Apprenticeship","-",IF(SUMIF(Grades!$A:$A,$B$2,Grades!$BQ:$BQ)=0,"-",IF(AND(VLOOKUP($B$2,Grades!$A:$BW,75,FALSE)="YES",B122&gt;Thresholds_Rates!$C$17),"-",$C122*Thresholds_Rates!$F$17))))</f>
        <v/>
      </c>
      <c r="I122" s="81"/>
      <c r="J122" s="81" t="str">
        <f ca="1">IF(B122="","",(C122*Thresholds_Rates!$C$12))</f>
        <v/>
      </c>
      <c r="K122" s="81"/>
      <c r="L122" s="68"/>
      <c r="M122" s="81" t="str">
        <f t="shared" ca="1" si="8"/>
        <v/>
      </c>
      <c r="N122" s="81" t="str">
        <f t="shared" ca="1" si="9"/>
        <v/>
      </c>
      <c r="O122" s="81" t="str">
        <f t="shared" ca="1" si="10"/>
        <v/>
      </c>
      <c r="P122" s="81" t="str">
        <f t="shared" ca="1" si="11"/>
        <v/>
      </c>
      <c r="Q122" s="81" t="str">
        <f t="shared" ca="1" si="12"/>
        <v/>
      </c>
      <c r="S122" s="83"/>
      <c r="T122" s="84"/>
      <c r="U122" s="83"/>
      <c r="V122" s="84"/>
    </row>
    <row r="123" spans="2:22" x14ac:dyDescent="0.25">
      <c r="B123" s="68" t="str">
        <f ca="1">IFERROR(INDEX('Points Lookup'!$A:$A,MATCH($AA125,'Points Lookup'!$AN:$AN,0)),"")</f>
        <v/>
      </c>
      <c r="C123" s="81" t="str">
        <f ca="1">IF(B123="","",SUMIF(INDIRECT("'Points Lookup'!"&amp;VLOOKUP($B$2,Grades!A:BU,72,FALSE)&amp;":"&amp;VLOOKUP($B$2,Grades!A:BU,72,FALSE)),B123,INDIRECT("'Points Lookup'!"&amp;VLOOKUP($B$2,Grades!A:BU,73,FALSE)&amp;":"&amp;VLOOKUP($B$2,Grades!A:BU,73,FALSE))))</f>
        <v/>
      </c>
      <c r="D123" s="81"/>
      <c r="E123" s="81"/>
      <c r="F123" s="81" t="str">
        <f ca="1">IF($B123="","",IF(SUMIF(Grades!$A:$A,$B$2,Grades!$BO:$BO)=0,"-",IF(AND(VLOOKUP($B$2,Grades!$A:$BV,74,FALSE)="YES",B123&lt;Thresholds_Rates!$C$16),"-",$C123*Thresholds_Rates!$F$15)))</f>
        <v/>
      </c>
      <c r="G123" s="81" t="str">
        <f ca="1">IF(B123="","",IF(OR($B$2="Salary Points 3 to 57",$B$2="Salary Points 3 to 57 (post-pay award)"),"-",IF(SUMIF(Grades!$A:$A,$B$2,Grades!$BP:$BP)=0,"-",$C123*Thresholds_Rates!$F$16)))</f>
        <v/>
      </c>
      <c r="H123" s="81" t="str">
        <f ca="1">IF(B123="","",IF($B$2="Apprenticeship","-",IF(SUMIF(Grades!$A:$A,$B$2,Grades!$BQ:$BQ)=0,"-",IF(AND(VLOOKUP($B$2,Grades!$A:$BW,75,FALSE)="YES",B123&gt;Thresholds_Rates!$C$17),"-",$C123*Thresholds_Rates!$F$17))))</f>
        <v/>
      </c>
      <c r="I123" s="81"/>
      <c r="J123" s="81" t="str">
        <f ca="1">IF(B123="","",(C123*Thresholds_Rates!$C$12))</f>
        <v/>
      </c>
      <c r="K123" s="81"/>
      <c r="L123" s="68"/>
      <c r="M123" s="81" t="str">
        <f t="shared" ca="1" si="8"/>
        <v/>
      </c>
      <c r="N123" s="81" t="str">
        <f t="shared" ca="1" si="9"/>
        <v/>
      </c>
      <c r="O123" s="81" t="str">
        <f t="shared" ca="1" si="10"/>
        <v/>
      </c>
      <c r="P123" s="81" t="str">
        <f t="shared" ca="1" si="11"/>
        <v/>
      </c>
      <c r="Q123" s="81" t="str">
        <f t="shared" ca="1" si="12"/>
        <v/>
      </c>
      <c r="S123" s="83"/>
      <c r="T123" s="84"/>
      <c r="U123" s="83"/>
      <c r="V123" s="84"/>
    </row>
    <row r="124" spans="2:22" x14ac:dyDescent="0.25">
      <c r="B124" s="68" t="str">
        <f ca="1">IFERROR(INDEX('Points Lookup'!$A:$A,MATCH($AA126,'Points Lookup'!$AN:$AN,0)),"")</f>
        <v/>
      </c>
      <c r="C124" s="81" t="str">
        <f ca="1">IF(B124="","",SUMIF(INDIRECT("'Points Lookup'!"&amp;VLOOKUP($B$2,Grades!A:BU,72,FALSE)&amp;":"&amp;VLOOKUP($B$2,Grades!A:BU,72,FALSE)),B124,INDIRECT("'Points Lookup'!"&amp;VLOOKUP($B$2,Grades!A:BU,73,FALSE)&amp;":"&amp;VLOOKUP($B$2,Grades!A:BU,73,FALSE))))</f>
        <v/>
      </c>
      <c r="D124" s="81"/>
      <c r="E124" s="81"/>
      <c r="F124" s="81" t="str">
        <f ca="1">IF($B124="","",IF(SUMIF(Grades!$A:$A,$B$2,Grades!$BO:$BO)=0,"-",IF(AND(VLOOKUP($B$2,Grades!$A:$BV,74,FALSE)="YES",B124&lt;Thresholds_Rates!$C$16),"-",$C124*Thresholds_Rates!$F$15)))</f>
        <v/>
      </c>
      <c r="G124" s="81" t="str">
        <f ca="1">IF(B124="","",IF(OR($B$2="Salary Points 3 to 57",$B$2="Salary Points 3 to 57 (post-pay award)"),"-",IF(SUMIF(Grades!$A:$A,$B$2,Grades!$BP:$BP)=0,"-",$C124*Thresholds_Rates!$F$16)))</f>
        <v/>
      </c>
      <c r="H124" s="81" t="str">
        <f ca="1">IF(B124="","",IF($B$2="Apprenticeship","-",IF(SUMIF(Grades!$A:$A,$B$2,Grades!$BQ:$BQ)=0,"-",IF(AND(VLOOKUP($B$2,Grades!$A:$BW,75,FALSE)="YES",B124&gt;Thresholds_Rates!$C$17),"-",$C124*Thresholds_Rates!$F$17))))</f>
        <v/>
      </c>
      <c r="I124" s="81"/>
      <c r="J124" s="81" t="str">
        <f ca="1">IF(B124="","",(C124*Thresholds_Rates!$C$12))</f>
        <v/>
      </c>
      <c r="K124" s="81"/>
      <c r="L124" s="68"/>
      <c r="M124" s="81" t="str">
        <f t="shared" ca="1" si="8"/>
        <v/>
      </c>
      <c r="N124" s="81" t="str">
        <f t="shared" ca="1" si="9"/>
        <v/>
      </c>
      <c r="O124" s="81" t="str">
        <f t="shared" ca="1" si="10"/>
        <v/>
      </c>
      <c r="P124" s="81" t="str">
        <f t="shared" ca="1" si="11"/>
        <v/>
      </c>
      <c r="Q124" s="81" t="str">
        <f t="shared" ca="1" si="12"/>
        <v/>
      </c>
      <c r="S124" s="83"/>
      <c r="T124" s="84"/>
      <c r="U124" s="83"/>
      <c r="V124" s="84"/>
    </row>
    <row r="125" spans="2:22" x14ac:dyDescent="0.25">
      <c r="B125" s="68" t="str">
        <f ca="1">IFERROR(INDEX('Points Lookup'!$A:$A,MATCH($AA127,'Points Lookup'!$AN:$AN,0)),"")</f>
        <v/>
      </c>
      <c r="C125" s="81" t="str">
        <f ca="1">IF(B125="","",SUMIF(INDIRECT("'Points Lookup'!"&amp;VLOOKUP($B$2,Grades!A:BU,72,FALSE)&amp;":"&amp;VLOOKUP($B$2,Grades!A:BU,72,FALSE)),B125,INDIRECT("'Points Lookup'!"&amp;VLOOKUP($B$2,Grades!A:BU,73,FALSE)&amp;":"&amp;VLOOKUP($B$2,Grades!A:BU,73,FALSE))))</f>
        <v/>
      </c>
      <c r="D125" s="81"/>
      <c r="E125" s="81"/>
      <c r="F125" s="81" t="str">
        <f ca="1">IF($B125="","",IF(SUMIF(Grades!$A:$A,$B$2,Grades!$BO:$BO)=0,"-",IF(AND(VLOOKUP($B$2,Grades!$A:$BV,74,FALSE)="YES",B125&lt;Thresholds_Rates!$C$16),"-",$C125*Thresholds_Rates!$F$15)))</f>
        <v/>
      </c>
      <c r="G125" s="81" t="str">
        <f ca="1">IF(B125="","",IF(OR($B$2="Salary Points 3 to 57",$B$2="Salary Points 3 to 57 (post-pay award)"),"-",IF(SUMIF(Grades!$A:$A,$B$2,Grades!$BP:$BP)=0,"-",$C125*Thresholds_Rates!$F$16)))</f>
        <v/>
      </c>
      <c r="H125" s="81" t="str">
        <f ca="1">IF(B125="","",IF($B$2="Apprenticeship","-",IF(SUMIF(Grades!$A:$A,$B$2,Grades!$BQ:$BQ)=0,"-",IF(AND(VLOOKUP($B$2,Grades!$A:$BW,75,FALSE)="YES",B125&gt;Thresholds_Rates!$C$17),"-",$C125*Thresholds_Rates!$F$17))))</f>
        <v/>
      </c>
      <c r="I125" s="81"/>
      <c r="J125" s="81" t="str">
        <f ca="1">IF(B125="","",(C125*Thresholds_Rates!$C$12))</f>
        <v/>
      </c>
      <c r="K125" s="81"/>
      <c r="L125" s="68"/>
      <c r="M125" s="81" t="str">
        <f t="shared" ca="1" si="8"/>
        <v/>
      </c>
      <c r="N125" s="81" t="str">
        <f t="shared" ca="1" si="9"/>
        <v/>
      </c>
      <c r="O125" s="81" t="str">
        <f t="shared" ca="1" si="10"/>
        <v/>
      </c>
      <c r="P125" s="81" t="str">
        <f t="shared" ca="1" si="11"/>
        <v/>
      </c>
      <c r="Q125" s="81" t="str">
        <f t="shared" ca="1" si="12"/>
        <v/>
      </c>
      <c r="S125" s="83"/>
      <c r="T125" s="84"/>
      <c r="U125" s="83"/>
      <c r="V125" s="84"/>
    </row>
    <row r="126" spans="2:22" x14ac:dyDescent="0.25">
      <c r="B126" s="68" t="str">
        <f ca="1">IFERROR(INDEX('Points Lookup'!$A:$A,MATCH($AA128,'Points Lookup'!$AN:$AN,0)),"")</f>
        <v/>
      </c>
      <c r="C126" s="81" t="str">
        <f ca="1">IF(B126="","",SUMIF(INDIRECT("'Points Lookup'!"&amp;VLOOKUP($B$2,Grades!A:BU,72,FALSE)&amp;":"&amp;VLOOKUP($B$2,Grades!A:BU,72,FALSE)),B126,INDIRECT("'Points Lookup'!"&amp;VLOOKUP($B$2,Grades!A:BU,73,FALSE)&amp;":"&amp;VLOOKUP($B$2,Grades!A:BU,73,FALSE))))</f>
        <v/>
      </c>
      <c r="D126" s="81"/>
      <c r="E126" s="81"/>
      <c r="F126" s="81" t="str">
        <f ca="1">IF($B126="","",IF(SUMIF(Grades!$A:$A,$B$2,Grades!$BO:$BO)=0,"-",IF(AND(VLOOKUP($B$2,Grades!$A:$BV,74,FALSE)="YES",B126&lt;Thresholds_Rates!$C$16),"-",$C126*Thresholds_Rates!$F$15)))</f>
        <v/>
      </c>
      <c r="G126" s="81" t="str">
        <f ca="1">IF(B126="","",IF(OR($B$2="Salary Points 3 to 57",$B$2="Salary Points 3 to 57 (post-pay award)"),"-",IF(SUMIF(Grades!$A:$A,$B$2,Grades!$BP:$BP)=0,"-",$C126*Thresholds_Rates!$F$16)))</f>
        <v/>
      </c>
      <c r="H126" s="81" t="str">
        <f ca="1">IF(B126="","",IF($B$2="Apprenticeship","-",IF(SUMIF(Grades!$A:$A,$B$2,Grades!$BQ:$BQ)=0,"-",IF(AND(VLOOKUP($B$2,Grades!$A:$BW,75,FALSE)="YES",B126&gt;Thresholds_Rates!$C$17),"-",$C126*Thresholds_Rates!$F$17))))</f>
        <v/>
      </c>
      <c r="I126" s="81"/>
      <c r="J126" s="81" t="str">
        <f ca="1">IF(B126="","",(C126*Thresholds_Rates!$C$12))</f>
        <v/>
      </c>
      <c r="K126" s="81"/>
      <c r="L126" s="68"/>
      <c r="M126" s="81" t="str">
        <f t="shared" ca="1" si="8"/>
        <v/>
      </c>
      <c r="N126" s="81" t="str">
        <f t="shared" ca="1" si="9"/>
        <v/>
      </c>
      <c r="O126" s="81" t="str">
        <f t="shared" ca="1" si="10"/>
        <v/>
      </c>
      <c r="P126" s="81" t="str">
        <f t="shared" ca="1" si="11"/>
        <v/>
      </c>
      <c r="Q126" s="81" t="str">
        <f t="shared" ca="1" si="12"/>
        <v/>
      </c>
      <c r="S126" s="83"/>
      <c r="T126" s="84"/>
      <c r="U126" s="83"/>
      <c r="V126" s="84"/>
    </row>
    <row r="127" spans="2:22" x14ac:dyDescent="0.25">
      <c r="B127" s="68" t="str">
        <f ca="1">IFERROR(INDEX('Points Lookup'!$A:$A,MATCH($AA129,'Points Lookup'!$AN:$AN,0)),"")</f>
        <v/>
      </c>
      <c r="C127" s="81" t="str">
        <f ca="1">IF(B127="","",SUMIF(INDIRECT("'Points Lookup'!"&amp;VLOOKUP($B$2,Grades!A:BU,72,FALSE)&amp;":"&amp;VLOOKUP($B$2,Grades!A:BU,72,FALSE)),B127,INDIRECT("'Points Lookup'!"&amp;VLOOKUP($B$2,Grades!A:BU,73,FALSE)&amp;":"&amp;VLOOKUP($B$2,Grades!A:BU,73,FALSE))))</f>
        <v/>
      </c>
      <c r="D127" s="81"/>
      <c r="E127" s="81"/>
      <c r="F127" s="81" t="str">
        <f ca="1">IF($B127="","",IF(SUMIF(Grades!$A:$A,$B$2,Grades!$BO:$BO)=0,"-",IF(AND(VLOOKUP($B$2,Grades!$A:$BV,74,FALSE)="YES",B127&lt;Thresholds_Rates!$C$16),"-",$C127*Thresholds_Rates!$F$15)))</f>
        <v/>
      </c>
      <c r="G127" s="81" t="str">
        <f ca="1">IF(B127="","",IF(OR($B$2="Salary Points 3 to 57",$B$2="Salary Points 3 to 57 (post-pay award)"),"-",IF(SUMIF(Grades!$A:$A,$B$2,Grades!$BP:$BP)=0,"-",$C127*Thresholds_Rates!$F$16)))</f>
        <v/>
      </c>
      <c r="H127" s="81" t="str">
        <f ca="1">IF(B127="","",IF($B$2="Apprenticeship","-",IF(SUMIF(Grades!$A:$A,$B$2,Grades!$BQ:$BQ)=0,"-",IF(AND(VLOOKUP($B$2,Grades!$A:$BW,75,FALSE)="YES",B127&gt;Thresholds_Rates!$C$17),"-",$C127*Thresholds_Rates!$F$17))))</f>
        <v/>
      </c>
      <c r="I127" s="81"/>
      <c r="J127" s="81" t="str">
        <f ca="1">IF(B127="","",(C127*Thresholds_Rates!$C$12))</f>
        <v/>
      </c>
      <c r="K127" s="81"/>
      <c r="L127" s="68"/>
      <c r="M127" s="81" t="str">
        <f t="shared" ca="1" si="8"/>
        <v/>
      </c>
      <c r="N127" s="81" t="str">
        <f t="shared" ca="1" si="9"/>
        <v/>
      </c>
      <c r="O127" s="81" t="str">
        <f t="shared" ca="1" si="10"/>
        <v/>
      </c>
      <c r="P127" s="81" t="str">
        <f t="shared" ca="1" si="11"/>
        <v/>
      </c>
      <c r="Q127" s="81" t="str">
        <f t="shared" ca="1" si="12"/>
        <v/>
      </c>
      <c r="S127" s="83"/>
      <c r="T127" s="84"/>
      <c r="U127" s="83"/>
      <c r="V127" s="84"/>
    </row>
    <row r="128" spans="2:22" x14ac:dyDescent="0.25">
      <c r="B128" s="68" t="str">
        <f ca="1">IFERROR(INDEX('Points Lookup'!$A:$A,MATCH($AA130,'Points Lookup'!$AN:$AN,0)),"")</f>
        <v/>
      </c>
      <c r="C128" s="81" t="str">
        <f ca="1">IF(B128="","",SUMIF(INDIRECT("'Points Lookup'!"&amp;VLOOKUP($B$2,Grades!A:BU,72,FALSE)&amp;":"&amp;VLOOKUP($B$2,Grades!A:BU,72,FALSE)),B128,INDIRECT("'Points Lookup'!"&amp;VLOOKUP($B$2,Grades!A:BU,73,FALSE)&amp;":"&amp;VLOOKUP($B$2,Grades!A:BU,73,FALSE))))</f>
        <v/>
      </c>
      <c r="D128" s="81"/>
      <c r="E128" s="81"/>
      <c r="F128" s="81" t="str">
        <f ca="1">IF($B128="","",IF(SUMIF(Grades!$A:$A,$B$2,Grades!$BO:$BO)=0,"-",IF(AND(VLOOKUP($B$2,Grades!$A:$BV,74,FALSE)="YES",B128&lt;Thresholds_Rates!$C$16),"-",$C128*Thresholds_Rates!$F$15)))</f>
        <v/>
      </c>
      <c r="G128" s="81" t="str">
        <f ca="1">IF(B128="","",IF(OR($B$2="Salary Points 3 to 57",$B$2="Salary Points 3 to 57 (post-pay award)"),"-",IF(SUMIF(Grades!$A:$A,$B$2,Grades!$BP:$BP)=0,"-",$C128*Thresholds_Rates!$F$16)))</f>
        <v/>
      </c>
      <c r="H128" s="81" t="str">
        <f ca="1">IF(B128="","",IF($B$2="Apprenticeship","-",IF(SUMIF(Grades!$A:$A,$B$2,Grades!$BQ:$BQ)=0,"-",IF(AND(VLOOKUP($B$2,Grades!$A:$BW,75,FALSE)="YES",B128&gt;Thresholds_Rates!$C$17),"-",$C128*Thresholds_Rates!$F$17))))</f>
        <v/>
      </c>
      <c r="I128" s="81"/>
      <c r="J128" s="81" t="str">
        <f ca="1">IF(B128="","",(C128*Thresholds_Rates!$C$12))</f>
        <v/>
      </c>
      <c r="K128" s="81"/>
      <c r="L128" s="68"/>
      <c r="M128" s="81" t="str">
        <f t="shared" ca="1" si="8"/>
        <v/>
      </c>
      <c r="N128" s="81" t="str">
        <f t="shared" ca="1" si="9"/>
        <v/>
      </c>
      <c r="O128" s="81" t="str">
        <f t="shared" ca="1" si="10"/>
        <v/>
      </c>
      <c r="P128" s="81" t="str">
        <f t="shared" ca="1" si="11"/>
        <v/>
      </c>
      <c r="Q128" s="81" t="str">
        <f t="shared" ca="1" si="12"/>
        <v/>
      </c>
      <c r="S128" s="83"/>
      <c r="T128" s="84"/>
      <c r="U128" s="83"/>
      <c r="V128" s="84"/>
    </row>
    <row r="129" spans="2:22" x14ac:dyDescent="0.25">
      <c r="B129" s="68" t="str">
        <f ca="1">IFERROR(INDEX('Points Lookup'!$A:$A,MATCH($AA131,'Points Lookup'!$AN:$AN,0)),"")</f>
        <v/>
      </c>
      <c r="C129" s="81" t="str">
        <f ca="1">IF(B129="","",SUMIF(INDIRECT("'Points Lookup'!"&amp;VLOOKUP($B$2,Grades!A:BU,72,FALSE)&amp;":"&amp;VLOOKUP($B$2,Grades!A:BU,72,FALSE)),B129,INDIRECT("'Points Lookup'!"&amp;VLOOKUP($B$2,Grades!A:BU,73,FALSE)&amp;":"&amp;VLOOKUP($B$2,Grades!A:BU,73,FALSE))))</f>
        <v/>
      </c>
      <c r="D129" s="81"/>
      <c r="E129" s="81"/>
      <c r="F129" s="81" t="str">
        <f ca="1">IF($B129="","",IF(SUMIF(Grades!$A:$A,$B$2,Grades!$BO:$BO)=0,"-",IF(AND(VLOOKUP($B$2,Grades!$A:$BV,74,FALSE)="YES",B129&lt;Thresholds_Rates!$C$16),"-",$C129*Thresholds_Rates!$F$15)))</f>
        <v/>
      </c>
      <c r="G129" s="81" t="str">
        <f ca="1">IF(B129="","",IF(OR($B$2="Salary Points 3 to 57",$B$2="Salary Points 3 to 57 (post-pay award)"),"-",IF(SUMIF(Grades!$A:$A,$B$2,Grades!$BP:$BP)=0,"-",$C129*Thresholds_Rates!$F$16)))</f>
        <v/>
      </c>
      <c r="H129" s="81" t="str">
        <f ca="1">IF(B129="","",IF($B$2="Apprenticeship","-",IF(SUMIF(Grades!$A:$A,$B$2,Grades!$BQ:$BQ)=0,"-",IF(AND(VLOOKUP($B$2,Grades!$A:$BW,75,FALSE)="YES",B129&gt;Thresholds_Rates!$C$17),"-",$C129*Thresholds_Rates!$F$17))))</f>
        <v/>
      </c>
      <c r="I129" s="81"/>
      <c r="J129" s="81" t="str">
        <f ca="1">IF(B129="","",(C129*Thresholds_Rates!$C$12))</f>
        <v/>
      </c>
      <c r="K129" s="81"/>
      <c r="L129" s="68"/>
      <c r="M129" s="81" t="str">
        <f t="shared" ca="1" si="8"/>
        <v/>
      </c>
      <c r="N129" s="81" t="str">
        <f t="shared" ca="1" si="9"/>
        <v/>
      </c>
      <c r="O129" s="81" t="str">
        <f t="shared" ca="1" si="10"/>
        <v/>
      </c>
      <c r="P129" s="81" t="str">
        <f t="shared" ca="1" si="11"/>
        <v/>
      </c>
      <c r="Q129" s="81" t="str">
        <f t="shared" ca="1" si="12"/>
        <v/>
      </c>
      <c r="S129" s="83"/>
      <c r="T129" s="84"/>
      <c r="U129" s="83"/>
      <c r="V129" s="84"/>
    </row>
    <row r="130" spans="2:22" x14ac:dyDescent="0.25">
      <c r="B130" s="68" t="str">
        <f ca="1">IFERROR(INDEX('Points Lookup'!$A:$A,MATCH($AA132,'Points Lookup'!$AN:$AN,0)),"")</f>
        <v/>
      </c>
      <c r="C130" s="81" t="str">
        <f ca="1">IF(B130="","",SUMIF(INDIRECT("'Points Lookup'!"&amp;VLOOKUP($B$2,Grades!A:BU,72,FALSE)&amp;":"&amp;VLOOKUP($B$2,Grades!A:BU,72,FALSE)),B130,INDIRECT("'Points Lookup'!"&amp;VLOOKUP($B$2,Grades!A:BU,73,FALSE)&amp;":"&amp;VLOOKUP($B$2,Grades!A:BU,73,FALSE))))</f>
        <v/>
      </c>
      <c r="D130" s="81"/>
      <c r="E130" s="81"/>
      <c r="F130" s="81" t="str">
        <f ca="1">IF($B130="","",IF(SUMIF(Grades!$A:$A,$B$2,Grades!$BO:$BO)=0,"-",IF(AND(VLOOKUP($B$2,Grades!$A:$BV,74,FALSE)="YES",B130&lt;Thresholds_Rates!$C$16),"-",$C130*Thresholds_Rates!$F$15)))</f>
        <v/>
      </c>
      <c r="G130" s="81" t="str">
        <f ca="1">IF(B130="","",IF(OR($B$2="Salary Points 3 to 57",$B$2="Salary Points 3 to 57 (post-pay award)"),"-",IF(SUMIF(Grades!$A:$A,$B$2,Grades!$BP:$BP)=0,"-",$C130*Thresholds_Rates!$F$16)))</f>
        <v/>
      </c>
      <c r="H130" s="81" t="str">
        <f ca="1">IF(B130="","",IF($B$2="Apprenticeship","-",IF(SUMIF(Grades!$A:$A,$B$2,Grades!$BQ:$BQ)=0,"-",IF(AND(VLOOKUP($B$2,Grades!$A:$BW,75,FALSE)="YES",B130&gt;Thresholds_Rates!$C$17),"-",$C130*Thresholds_Rates!$F$17))))</f>
        <v/>
      </c>
      <c r="I130" s="81"/>
      <c r="J130" s="81" t="str">
        <f ca="1">IF(B130="","",(C130*Thresholds_Rates!$C$12))</f>
        <v/>
      </c>
      <c r="K130" s="81"/>
      <c r="L130" s="68"/>
      <c r="M130" s="81" t="str">
        <f t="shared" ca="1" si="8"/>
        <v/>
      </c>
      <c r="N130" s="81" t="str">
        <f t="shared" ca="1" si="9"/>
        <v/>
      </c>
      <c r="O130" s="81" t="str">
        <f t="shared" ca="1" si="10"/>
        <v/>
      </c>
      <c r="P130" s="81" t="str">
        <f t="shared" ca="1" si="11"/>
        <v/>
      </c>
      <c r="Q130" s="81" t="str">
        <f t="shared" ca="1" si="12"/>
        <v/>
      </c>
      <c r="S130" s="83"/>
      <c r="T130" s="84"/>
      <c r="U130" s="83"/>
      <c r="V130" s="84"/>
    </row>
    <row r="131" spans="2:22" x14ac:dyDescent="0.25">
      <c r="B131" s="68" t="str">
        <f ca="1">IFERROR(INDEX('Points Lookup'!$A:$A,MATCH($AA133,'Points Lookup'!$AN:$AN,0)),"")</f>
        <v/>
      </c>
      <c r="C131" s="81" t="str">
        <f ca="1">IF(B131="","",SUMIF(INDIRECT("'Points Lookup'!"&amp;VLOOKUP($B$2,Grades!A:BU,72,FALSE)&amp;":"&amp;VLOOKUP($B$2,Grades!A:BU,72,FALSE)),B131,INDIRECT("'Points Lookup'!"&amp;VLOOKUP($B$2,Grades!A:BU,73,FALSE)&amp;":"&amp;VLOOKUP($B$2,Grades!A:BU,73,FALSE))))</f>
        <v/>
      </c>
      <c r="D131" s="81"/>
      <c r="E131" s="81"/>
      <c r="F131" s="81" t="str">
        <f ca="1">IF($B131="","",IF(SUMIF(Grades!$A:$A,$B$2,Grades!$BO:$BO)=0,"-",IF(AND(VLOOKUP($B$2,Grades!$A:$BV,74,FALSE)="YES",B131&lt;Thresholds_Rates!$C$16),"-",$C131*Thresholds_Rates!$F$15)))</f>
        <v/>
      </c>
      <c r="G131" s="81" t="str">
        <f ca="1">IF(B131="","",IF(OR($B$2="Salary Points 3 to 57",$B$2="Salary Points 3 to 57 (post-pay award)"),"-",IF(SUMIF(Grades!$A:$A,$B$2,Grades!$BP:$BP)=0,"-",$C131*Thresholds_Rates!$F$16)))</f>
        <v/>
      </c>
      <c r="H131" s="81" t="str">
        <f ca="1">IF(B131="","",IF($B$2="Apprenticeship","-",IF(SUMIF(Grades!$A:$A,$B$2,Grades!$BQ:$BQ)=0,"-",IF(AND(VLOOKUP($B$2,Grades!$A:$BW,75,FALSE)="YES",B131&gt;Thresholds_Rates!$C$17),"-",$C131*Thresholds_Rates!$F$17))))</f>
        <v/>
      </c>
      <c r="I131" s="81"/>
      <c r="J131" s="81" t="str">
        <f ca="1">IF(B131="","",(C131*Thresholds_Rates!$C$12))</f>
        <v/>
      </c>
      <c r="K131" s="81"/>
      <c r="L131" s="68"/>
      <c r="M131" s="81" t="str">
        <f t="shared" ca="1" si="8"/>
        <v/>
      </c>
      <c r="N131" s="81" t="str">
        <f t="shared" ca="1" si="9"/>
        <v/>
      </c>
      <c r="O131" s="81" t="str">
        <f t="shared" ca="1" si="10"/>
        <v/>
      </c>
      <c r="P131" s="81" t="str">
        <f t="shared" ca="1" si="11"/>
        <v/>
      </c>
      <c r="Q131" s="81" t="str">
        <f t="shared" ca="1" si="12"/>
        <v/>
      </c>
      <c r="S131" s="83"/>
      <c r="T131" s="84"/>
      <c r="U131" s="83"/>
      <c r="V131" s="84"/>
    </row>
    <row r="132" spans="2:22" x14ac:dyDescent="0.25">
      <c r="B132" s="68" t="str">
        <f ca="1">IFERROR(INDEX('Points Lookup'!$A:$A,MATCH($AA134,'Points Lookup'!$AN:$AN,0)),"")</f>
        <v/>
      </c>
      <c r="C132" s="81" t="str">
        <f ca="1">IF(B132="","",SUMIF(INDIRECT("'Points Lookup'!"&amp;VLOOKUP($B$2,Grades!A:BU,72,FALSE)&amp;":"&amp;VLOOKUP($B$2,Grades!A:BU,72,FALSE)),B132,INDIRECT("'Points Lookup'!"&amp;VLOOKUP($B$2,Grades!A:BU,73,FALSE)&amp;":"&amp;VLOOKUP($B$2,Grades!A:BU,73,FALSE))))</f>
        <v/>
      </c>
      <c r="D132" s="81"/>
      <c r="E132" s="81"/>
      <c r="F132" s="81" t="str">
        <f ca="1">IF($B132="","",IF(SUMIF(Grades!$A:$A,$B$2,Grades!$BO:$BO)=0,"-",IF(AND(VLOOKUP($B$2,Grades!$A:$BV,74,FALSE)="YES",B132&lt;Thresholds_Rates!$C$16),"-",$C132*Thresholds_Rates!$F$15)))</f>
        <v/>
      </c>
      <c r="G132" s="81" t="str">
        <f ca="1">IF(B132="","",IF(OR($B$2="Salary Points 3 to 57",$B$2="Salary Points 3 to 57 (post-pay award)"),"-",IF(SUMIF(Grades!$A:$A,$B$2,Grades!$BP:$BP)=0,"-",$C132*Thresholds_Rates!$F$16)))</f>
        <v/>
      </c>
      <c r="H132" s="81" t="str">
        <f ca="1">IF(B132="","",IF($B$2="Apprenticeship","-",IF(SUMIF(Grades!$A:$A,$B$2,Grades!$BQ:$BQ)=0,"-",IF(AND(VLOOKUP($B$2,Grades!$A:$BW,75,FALSE)="YES",B132&gt;Thresholds_Rates!$C$17),"-",$C132*Thresholds_Rates!$F$17))))</f>
        <v/>
      </c>
      <c r="I132" s="81"/>
      <c r="J132" s="81" t="str">
        <f ca="1">IF(B132="","",(C132*Thresholds_Rates!$C$12))</f>
        <v/>
      </c>
      <c r="K132" s="81"/>
      <c r="L132" s="68"/>
      <c r="M132" s="81" t="str">
        <f t="shared" ca="1" si="8"/>
        <v/>
      </c>
      <c r="N132" s="81" t="str">
        <f t="shared" ca="1" si="9"/>
        <v/>
      </c>
      <c r="O132" s="81" t="str">
        <f t="shared" ca="1" si="10"/>
        <v/>
      </c>
      <c r="P132" s="81" t="str">
        <f t="shared" ca="1" si="11"/>
        <v/>
      </c>
      <c r="Q132" s="81" t="str">
        <f t="shared" ca="1" si="12"/>
        <v/>
      </c>
      <c r="S132" s="83"/>
      <c r="T132" s="84"/>
      <c r="U132" s="83"/>
      <c r="V132" s="84"/>
    </row>
    <row r="133" spans="2:22" x14ac:dyDescent="0.25">
      <c r="B133" s="68" t="str">
        <f ca="1">IFERROR(INDEX('Points Lookup'!$A:$A,MATCH($AA135,'Points Lookup'!$AN:$AN,0)),"")</f>
        <v/>
      </c>
      <c r="C133" s="81" t="str">
        <f ca="1">IF(B133="","",SUMIF(INDIRECT("'Points Lookup'!"&amp;VLOOKUP($B$2,Grades!A:BU,72,FALSE)&amp;":"&amp;VLOOKUP($B$2,Grades!A:BU,72,FALSE)),B133,INDIRECT("'Points Lookup'!"&amp;VLOOKUP($B$2,Grades!A:BU,73,FALSE)&amp;":"&amp;VLOOKUP($B$2,Grades!A:BU,73,FALSE))))</f>
        <v/>
      </c>
      <c r="D133" s="81"/>
      <c r="E133" s="81"/>
      <c r="F133" s="81" t="str">
        <f ca="1">IF($B133="","",IF(SUMIF(Grades!$A:$A,$B$2,Grades!$BO:$BO)=0,"-",IF(AND(VLOOKUP($B$2,Grades!$A:$BV,74,FALSE)="YES",B133&lt;Thresholds_Rates!$C$16),"-",$C133*Thresholds_Rates!$F$15)))</f>
        <v/>
      </c>
      <c r="G133" s="81" t="str">
        <f ca="1">IF(B133="","",IF(OR($B$2="Salary Points 3 to 57",$B$2="Salary Points 3 to 57 (post-pay award)"),"-",IF(SUMIF(Grades!$A:$A,$B$2,Grades!$BP:$BP)=0,"-",$C133*Thresholds_Rates!$F$16)))</f>
        <v/>
      </c>
      <c r="H133" s="81" t="str">
        <f ca="1">IF(B133="","",IF($B$2="Apprenticeship","-",IF(SUMIF(Grades!$A:$A,$B$2,Grades!$BQ:$BQ)=0,"-",IF(AND(VLOOKUP($B$2,Grades!$A:$BW,75,FALSE)="YES",B133&gt;Thresholds_Rates!$C$17),"-",$C133*Thresholds_Rates!$F$17))))</f>
        <v/>
      </c>
      <c r="I133" s="81"/>
      <c r="J133" s="81" t="str">
        <f ca="1">IF(B133="","",(C133*Thresholds_Rates!$C$12))</f>
        <v/>
      </c>
      <c r="K133" s="81"/>
      <c r="L133" s="68"/>
      <c r="M133" s="81" t="str">
        <f t="shared" ca="1" si="8"/>
        <v/>
      </c>
      <c r="N133" s="81" t="str">
        <f t="shared" ca="1" si="9"/>
        <v/>
      </c>
      <c r="O133" s="81" t="str">
        <f t="shared" ca="1" si="10"/>
        <v/>
      </c>
      <c r="P133" s="81" t="str">
        <f t="shared" ca="1" si="11"/>
        <v/>
      </c>
      <c r="Q133" s="81" t="str">
        <f t="shared" ca="1" si="12"/>
        <v/>
      </c>
      <c r="S133" s="83"/>
      <c r="T133" s="84"/>
      <c r="U133" s="83"/>
      <c r="V133" s="84"/>
    </row>
    <row r="134" spans="2:22" x14ac:dyDescent="0.25">
      <c r="B134" s="68" t="str">
        <f ca="1">IFERROR(INDEX('Points Lookup'!$A:$A,MATCH($AA136,'Points Lookup'!$AN:$AN,0)),"")</f>
        <v/>
      </c>
      <c r="C134" s="81" t="str">
        <f ca="1">IF(B134="","",SUMIF(INDIRECT("'Points Lookup'!"&amp;VLOOKUP($B$2,Grades!A:BU,72,FALSE)&amp;":"&amp;VLOOKUP($B$2,Grades!A:BU,72,FALSE)),B134,INDIRECT("'Points Lookup'!"&amp;VLOOKUP($B$2,Grades!A:BU,73,FALSE)&amp;":"&amp;VLOOKUP($B$2,Grades!A:BU,73,FALSE))))</f>
        <v/>
      </c>
      <c r="D134" s="81"/>
      <c r="E134" s="81"/>
      <c r="F134" s="81" t="str">
        <f ca="1">IF($B134="","",IF(SUMIF(Grades!$A:$A,$B$2,Grades!$BO:$BO)=0,"-",IF(AND(VLOOKUP($B$2,Grades!$A:$BV,74,FALSE)="YES",B134&lt;Thresholds_Rates!$C$16),"-",$C134*Thresholds_Rates!$F$15)))</f>
        <v/>
      </c>
      <c r="G134" s="81" t="str">
        <f ca="1">IF(B134="","",IF(OR($B$2="Salary Points 3 to 57",$B$2="Salary Points 3 to 57 (post-pay award)"),"-",IF(SUMIF(Grades!$A:$A,$B$2,Grades!$BP:$BP)=0,"-",$C134*Thresholds_Rates!$F$16)))</f>
        <v/>
      </c>
      <c r="H134" s="81" t="str">
        <f ca="1">IF(B134="","",IF($B$2="Apprenticeship","-",IF(SUMIF(Grades!$A:$A,$B$2,Grades!$BQ:$BQ)=0,"-",IF(AND(VLOOKUP($B$2,Grades!$A:$BW,75,FALSE)="YES",B134&gt;Thresholds_Rates!$C$17),"-",$C134*Thresholds_Rates!$F$17))))</f>
        <v/>
      </c>
      <c r="I134" s="81"/>
      <c r="J134" s="81" t="str">
        <f ca="1">IF(B134="","",(C134*Thresholds_Rates!$C$12))</f>
        <v/>
      </c>
      <c r="K134" s="81"/>
      <c r="L134" s="68"/>
      <c r="M134" s="81" t="str">
        <f t="shared" ca="1" si="8"/>
        <v/>
      </c>
      <c r="N134" s="81" t="str">
        <f t="shared" ca="1" si="9"/>
        <v/>
      </c>
      <c r="O134" s="81" t="str">
        <f t="shared" ca="1" si="10"/>
        <v/>
      </c>
      <c r="P134" s="81" t="str">
        <f t="shared" ca="1" si="11"/>
        <v/>
      </c>
      <c r="Q134" s="81" t="str">
        <f t="shared" ca="1" si="12"/>
        <v/>
      </c>
      <c r="S134" s="83"/>
      <c r="T134" s="84"/>
      <c r="U134" s="83"/>
      <c r="V134" s="84"/>
    </row>
    <row r="135" spans="2:22" x14ac:dyDescent="0.25">
      <c r="B135" s="68" t="str">
        <f ca="1">IFERROR(INDEX('Points Lookup'!$A:$A,MATCH($AA137,'Points Lookup'!$AN:$AN,0)),"")</f>
        <v/>
      </c>
      <c r="C135" s="81" t="str">
        <f ca="1">IF(B135="","",SUMIF(INDIRECT("'Points Lookup'!"&amp;VLOOKUP($B$2,Grades!A:BU,72,FALSE)&amp;":"&amp;VLOOKUP($B$2,Grades!A:BU,72,FALSE)),B135,INDIRECT("'Points Lookup'!"&amp;VLOOKUP($B$2,Grades!A:BU,73,FALSE)&amp;":"&amp;VLOOKUP($B$2,Grades!A:BU,73,FALSE))))</f>
        <v/>
      </c>
      <c r="D135" s="81"/>
      <c r="E135" s="81"/>
      <c r="F135" s="81" t="str">
        <f ca="1">IF($B135="","",IF(SUMIF(Grades!$A:$A,$B$2,Grades!$BO:$BO)=0,"-",IF(AND(VLOOKUP($B$2,Grades!$A:$BV,74,FALSE)="YES",B135&lt;Thresholds_Rates!$C$16),"-",$C135*Thresholds_Rates!$F$15)))</f>
        <v/>
      </c>
      <c r="G135" s="81" t="str">
        <f ca="1">IF(B135="","",IF(OR($B$2="Salary Points 3 to 57",$B$2="Salary Points 3 to 57 (post-pay award)"),"-",IF(SUMIF(Grades!$A:$A,$B$2,Grades!$BP:$BP)=0,"-",$C135*Thresholds_Rates!$F$16)))</f>
        <v/>
      </c>
      <c r="H135" s="81" t="str">
        <f ca="1">IF(B135="","",IF($B$2="Apprenticeship","-",IF(SUMIF(Grades!$A:$A,$B$2,Grades!$BQ:$BQ)=0,"-",IF(AND(VLOOKUP($B$2,Grades!$A:$BW,75,FALSE)="YES",B135&gt;Thresholds_Rates!$C$17),"-",$C135*Thresholds_Rates!$F$17))))</f>
        <v/>
      </c>
      <c r="I135" s="81"/>
      <c r="J135" s="81" t="str">
        <f ca="1">IF(B135="","",(C135*Thresholds_Rates!$C$12))</f>
        <v/>
      </c>
      <c r="K135" s="81"/>
      <c r="L135" s="68"/>
      <c r="M135" s="81" t="str">
        <f t="shared" ca="1" si="8"/>
        <v/>
      </c>
      <c r="N135" s="81" t="str">
        <f t="shared" ca="1" si="9"/>
        <v/>
      </c>
      <c r="O135" s="81" t="str">
        <f t="shared" ca="1" si="10"/>
        <v/>
      </c>
      <c r="P135" s="81" t="str">
        <f t="shared" ca="1" si="11"/>
        <v/>
      </c>
      <c r="Q135" s="81" t="str">
        <f t="shared" ca="1" si="12"/>
        <v/>
      </c>
      <c r="S135" s="83"/>
      <c r="T135" s="84"/>
      <c r="U135" s="83"/>
      <c r="V135" s="84"/>
    </row>
    <row r="136" spans="2:22" x14ac:dyDescent="0.25">
      <c r="B136" s="68" t="str">
        <f ca="1">IFERROR(INDEX('Points Lookup'!$A:$A,MATCH($AA138,'Points Lookup'!$AN:$AN,0)),"")</f>
        <v/>
      </c>
      <c r="C136" s="81" t="str">
        <f ca="1">IF(B136="","",SUMIF(INDIRECT("'Points Lookup'!"&amp;VLOOKUP($B$2,Grades!A:BU,72,FALSE)&amp;":"&amp;VLOOKUP($B$2,Grades!A:BU,72,FALSE)),B136,INDIRECT("'Points Lookup'!"&amp;VLOOKUP($B$2,Grades!A:BU,73,FALSE)&amp;":"&amp;VLOOKUP($B$2,Grades!A:BU,73,FALSE))))</f>
        <v/>
      </c>
      <c r="D136" s="81"/>
      <c r="E136" s="81"/>
      <c r="F136" s="81" t="str">
        <f ca="1">IF($B136="","",IF(SUMIF(Grades!$A:$A,$B$2,Grades!$BO:$BO)=0,"-",IF(AND(VLOOKUP($B$2,Grades!$A:$BV,74,FALSE)="YES",B136&lt;Thresholds_Rates!$C$16),"-",$C136*Thresholds_Rates!$F$15)))</f>
        <v/>
      </c>
      <c r="G136" s="81" t="str">
        <f ca="1">IF(B136="","",IF(OR($B$2="Salary Points 3 to 57",$B$2="Salary Points 3 to 57 (post-pay award)"),"-",IF(SUMIF(Grades!$A:$A,$B$2,Grades!$BP:$BP)=0,"-",$C136*Thresholds_Rates!$F$16)))</f>
        <v/>
      </c>
      <c r="H136" s="81" t="str">
        <f ca="1">IF(B136="","",IF($B$2="Apprenticeship","-",IF(SUMIF(Grades!$A:$A,$B$2,Grades!$BQ:$BQ)=0,"-",IF(AND(VLOOKUP($B$2,Grades!$A:$BW,75,FALSE)="YES",B136&gt;Thresholds_Rates!$C$17),"-",$C136*Thresholds_Rates!$F$17))))</f>
        <v/>
      </c>
      <c r="I136" s="81"/>
      <c r="J136" s="81" t="str">
        <f ca="1">IF(B136="","",(C136*Thresholds_Rates!$C$12))</f>
        <v/>
      </c>
      <c r="K136" s="81"/>
      <c r="L136" s="68"/>
      <c r="M136" s="81" t="str">
        <f t="shared" ref="M136:M199" ca="1" si="13">IF(B136="","",IF(F136="-","-",$C136+$I136+F136+J136))</f>
        <v/>
      </c>
      <c r="N136" s="81" t="str">
        <f t="shared" ref="N136:N199" ca="1" si="14">IF(B136="","",IF(G136="-","-",$C136+$I136+G136+J136))</f>
        <v/>
      </c>
      <c r="O136" s="81" t="str">
        <f t="shared" ref="O136:O199" ca="1" si="15">IF(B136="","",IF(H136="-","-",$C136+$I136+H136+J136))</f>
        <v/>
      </c>
      <c r="P136" s="81" t="str">
        <f t="shared" ref="P136:P199" ca="1" si="16">IF(B136="","",IF(K136="-","-",$C136+$I136+K136+J136))</f>
        <v/>
      </c>
      <c r="Q136" s="81" t="str">
        <f t="shared" ref="Q136:Q199" ca="1" si="17">IF(B136="","",C136+I136+J136)</f>
        <v/>
      </c>
      <c r="S136" s="83"/>
      <c r="T136" s="84"/>
      <c r="U136" s="83"/>
      <c r="V136" s="84"/>
    </row>
    <row r="137" spans="2:22" x14ac:dyDescent="0.25">
      <c r="B137" s="68" t="str">
        <f ca="1">IFERROR(INDEX('Points Lookup'!$A:$A,MATCH($AA139,'Points Lookup'!$AN:$AN,0)),"")</f>
        <v/>
      </c>
      <c r="C137" s="81" t="str">
        <f ca="1">IF(B137="","",SUMIF(INDIRECT("'Points Lookup'!"&amp;VLOOKUP($B$2,Grades!A:BU,72,FALSE)&amp;":"&amp;VLOOKUP($B$2,Grades!A:BU,72,FALSE)),B137,INDIRECT("'Points Lookup'!"&amp;VLOOKUP($B$2,Grades!A:BU,73,FALSE)&amp;":"&amp;VLOOKUP($B$2,Grades!A:BU,73,FALSE))))</f>
        <v/>
      </c>
      <c r="D137" s="81"/>
      <c r="E137" s="81"/>
      <c r="F137" s="81" t="str">
        <f ca="1">IF($B137="","",IF(SUMIF(Grades!$A:$A,$B$2,Grades!$BO:$BO)=0,"-",IF(AND(VLOOKUP($B$2,Grades!$A:$BV,74,FALSE)="YES",B137&lt;Thresholds_Rates!$C$16),"-",$C137*Thresholds_Rates!$F$15)))</f>
        <v/>
      </c>
      <c r="G137" s="81" t="str">
        <f ca="1">IF(B137="","",IF(OR($B$2="Salary Points 3 to 57",$B$2="Salary Points 3 to 57 (post-pay award)"),"-",IF(SUMIF(Grades!$A:$A,$B$2,Grades!$BP:$BP)=0,"-",$C137*Thresholds_Rates!$F$16)))</f>
        <v/>
      </c>
      <c r="H137" s="81" t="str">
        <f ca="1">IF(B137="","",IF($B$2="Apprenticeship","-",IF(SUMIF(Grades!$A:$A,$B$2,Grades!$BQ:$BQ)=0,"-",IF(AND(VLOOKUP($B$2,Grades!$A:$BW,75,FALSE)="YES",B137&gt;Thresholds_Rates!$C$17),"-",$C137*Thresholds_Rates!$F$17))))</f>
        <v/>
      </c>
      <c r="I137" s="81"/>
      <c r="J137" s="81" t="str">
        <f ca="1">IF(B137="","",(C137*Thresholds_Rates!$C$12))</f>
        <v/>
      </c>
      <c r="K137" s="81"/>
      <c r="L137" s="68"/>
      <c r="M137" s="81" t="str">
        <f t="shared" ca="1" si="13"/>
        <v/>
      </c>
      <c r="N137" s="81" t="str">
        <f t="shared" ca="1" si="14"/>
        <v/>
      </c>
      <c r="O137" s="81" t="str">
        <f t="shared" ca="1" si="15"/>
        <v/>
      </c>
      <c r="P137" s="81" t="str">
        <f t="shared" ca="1" si="16"/>
        <v/>
      </c>
      <c r="Q137" s="81" t="str">
        <f t="shared" ca="1" si="17"/>
        <v/>
      </c>
      <c r="S137" s="83"/>
      <c r="T137" s="84"/>
      <c r="U137" s="83"/>
      <c r="V137" s="84"/>
    </row>
    <row r="138" spans="2:22" x14ac:dyDescent="0.25">
      <c r="B138" s="68" t="str">
        <f ca="1">IFERROR(INDEX('Points Lookup'!$A:$A,MATCH($AA140,'Points Lookup'!$AN:$AN,0)),"")</f>
        <v/>
      </c>
      <c r="C138" s="81" t="str">
        <f ca="1">IF(B138="","",SUMIF(INDIRECT("'Points Lookup'!"&amp;VLOOKUP($B$2,Grades!A:BU,72,FALSE)&amp;":"&amp;VLOOKUP($B$2,Grades!A:BU,72,FALSE)),B138,INDIRECT("'Points Lookup'!"&amp;VLOOKUP($B$2,Grades!A:BU,73,FALSE)&amp;":"&amp;VLOOKUP($B$2,Grades!A:BU,73,FALSE))))</f>
        <v/>
      </c>
      <c r="D138" s="81"/>
      <c r="E138" s="81"/>
      <c r="F138" s="81" t="str">
        <f ca="1">IF($B138="","",IF(SUMIF(Grades!$A:$A,$B$2,Grades!$BO:$BO)=0,"-",IF(AND(VLOOKUP($B$2,Grades!$A:$BV,74,FALSE)="YES",B138&lt;Thresholds_Rates!$C$16),"-",$C138*Thresholds_Rates!$F$15)))</f>
        <v/>
      </c>
      <c r="G138" s="81" t="str">
        <f ca="1">IF(B138="","",IF(OR($B$2="Salary Points 3 to 57",$B$2="Salary Points 3 to 57 (post-pay award)"),"-",IF(SUMIF(Grades!$A:$A,$B$2,Grades!$BP:$BP)=0,"-",$C138*Thresholds_Rates!$F$16)))</f>
        <v/>
      </c>
      <c r="H138" s="81" t="str">
        <f ca="1">IF(B138="","",IF($B$2="Apprenticeship","-",IF(SUMIF(Grades!$A:$A,$B$2,Grades!$BQ:$BQ)=0,"-",IF(AND(VLOOKUP($B$2,Grades!$A:$BW,75,FALSE)="YES",B138&gt;Thresholds_Rates!$C$17),"-",$C138*Thresholds_Rates!$F$17))))</f>
        <v/>
      </c>
      <c r="I138" s="81"/>
      <c r="J138" s="81" t="str">
        <f ca="1">IF(B138="","",(C138*Thresholds_Rates!$C$12))</f>
        <v/>
      </c>
      <c r="K138" s="81"/>
      <c r="L138" s="68"/>
      <c r="M138" s="81" t="str">
        <f t="shared" ca="1" si="13"/>
        <v/>
      </c>
      <c r="N138" s="81" t="str">
        <f t="shared" ca="1" si="14"/>
        <v/>
      </c>
      <c r="O138" s="81" t="str">
        <f t="shared" ca="1" si="15"/>
        <v/>
      </c>
      <c r="P138" s="81" t="str">
        <f t="shared" ca="1" si="16"/>
        <v/>
      </c>
      <c r="Q138" s="81" t="str">
        <f t="shared" ca="1" si="17"/>
        <v/>
      </c>
      <c r="S138" s="83"/>
      <c r="T138" s="84"/>
      <c r="U138" s="83"/>
      <c r="V138" s="84"/>
    </row>
    <row r="139" spans="2:22" x14ac:dyDescent="0.25">
      <c r="B139" s="68" t="str">
        <f ca="1">IFERROR(INDEX('Points Lookup'!$A:$A,MATCH($AA141,'Points Lookup'!$AN:$AN,0)),"")</f>
        <v/>
      </c>
      <c r="C139" s="81" t="str">
        <f ca="1">IF(B139="","",SUMIF(INDIRECT("'Points Lookup'!"&amp;VLOOKUP($B$2,Grades!A:BU,72,FALSE)&amp;":"&amp;VLOOKUP($B$2,Grades!A:BU,72,FALSE)),B139,INDIRECT("'Points Lookup'!"&amp;VLOOKUP($B$2,Grades!A:BU,73,FALSE)&amp;":"&amp;VLOOKUP($B$2,Grades!A:BU,73,FALSE))))</f>
        <v/>
      </c>
      <c r="D139" s="81"/>
      <c r="E139" s="81"/>
      <c r="F139" s="81" t="str">
        <f ca="1">IF($B139="","",IF(SUMIF(Grades!$A:$A,$B$2,Grades!$BO:$BO)=0,"-",IF(AND(VLOOKUP($B$2,Grades!$A:$BV,74,FALSE)="YES",B139&lt;Thresholds_Rates!$C$16),"-",$C139*Thresholds_Rates!$F$15)))</f>
        <v/>
      </c>
      <c r="G139" s="81" t="str">
        <f ca="1">IF(B139="","",IF(OR($B$2="Salary Points 3 to 57",$B$2="Salary Points 3 to 57 (post-pay award)"),"-",IF(SUMIF(Grades!$A:$A,$B$2,Grades!$BP:$BP)=0,"-",$C139*Thresholds_Rates!$F$16)))</f>
        <v/>
      </c>
      <c r="H139" s="81" t="str">
        <f ca="1">IF(B139="","",IF($B$2="Apprenticeship","-",IF(SUMIF(Grades!$A:$A,$B$2,Grades!$BQ:$BQ)=0,"-",IF(AND(VLOOKUP($B$2,Grades!$A:$BW,75,FALSE)="YES",B139&gt;Thresholds_Rates!$C$17),"-",$C139*Thresholds_Rates!$F$17))))</f>
        <v/>
      </c>
      <c r="I139" s="81"/>
      <c r="J139" s="81" t="str">
        <f ca="1">IF(B139="","",(C139*Thresholds_Rates!$C$12))</f>
        <v/>
      </c>
      <c r="K139" s="81"/>
      <c r="L139" s="68"/>
      <c r="M139" s="81" t="str">
        <f t="shared" ca="1" si="13"/>
        <v/>
      </c>
      <c r="N139" s="81" t="str">
        <f t="shared" ca="1" si="14"/>
        <v/>
      </c>
      <c r="O139" s="81" t="str">
        <f t="shared" ca="1" si="15"/>
        <v/>
      </c>
      <c r="P139" s="81" t="str">
        <f t="shared" ca="1" si="16"/>
        <v/>
      </c>
      <c r="Q139" s="81" t="str">
        <f t="shared" ca="1" si="17"/>
        <v/>
      </c>
      <c r="S139" s="83"/>
      <c r="T139" s="84"/>
      <c r="U139" s="83"/>
      <c r="V139" s="84"/>
    </row>
    <row r="140" spans="2:22" x14ac:dyDescent="0.25">
      <c r="B140" s="68" t="str">
        <f ca="1">IFERROR(INDEX('Points Lookup'!$A:$A,MATCH($AA142,'Points Lookup'!$AN:$AN,0)),"")</f>
        <v/>
      </c>
      <c r="C140" s="81" t="str">
        <f ca="1">IF(B140="","",SUMIF(INDIRECT("'Points Lookup'!"&amp;VLOOKUP($B$2,Grades!A:BU,72,FALSE)&amp;":"&amp;VLOOKUP($B$2,Grades!A:BU,72,FALSE)),B140,INDIRECT("'Points Lookup'!"&amp;VLOOKUP($B$2,Grades!A:BU,73,FALSE)&amp;":"&amp;VLOOKUP($B$2,Grades!A:BU,73,FALSE))))</f>
        <v/>
      </c>
      <c r="D140" s="81"/>
      <c r="E140" s="81"/>
      <c r="F140" s="81" t="str">
        <f ca="1">IF($B140="","",IF(SUMIF(Grades!$A:$A,$B$2,Grades!$BO:$BO)=0,"-",IF(AND(VLOOKUP($B$2,Grades!$A:$BV,74,FALSE)="YES",B140&lt;Thresholds_Rates!$C$16),"-",$C140*Thresholds_Rates!$F$15)))</f>
        <v/>
      </c>
      <c r="G140" s="81" t="str">
        <f ca="1">IF(B140="","",IF(OR($B$2="Salary Points 3 to 57",$B$2="Salary Points 3 to 57 (post-pay award)"),"-",IF(SUMIF(Grades!$A:$A,$B$2,Grades!$BP:$BP)=0,"-",$C140*Thresholds_Rates!$F$16)))</f>
        <v/>
      </c>
      <c r="H140" s="81" t="str">
        <f ca="1">IF(B140="","",IF($B$2="Apprenticeship","-",IF(SUMIF(Grades!$A:$A,$B$2,Grades!$BQ:$BQ)=0,"-",IF(AND(VLOOKUP($B$2,Grades!$A:$BW,75,FALSE)="YES",B140&gt;Thresholds_Rates!$C$17),"-",$C140*Thresholds_Rates!$F$17))))</f>
        <v/>
      </c>
      <c r="I140" s="81"/>
      <c r="J140" s="81" t="str">
        <f ca="1">IF(B140="","",(C140*Thresholds_Rates!$C$12))</f>
        <v/>
      </c>
      <c r="K140" s="81"/>
      <c r="L140" s="68"/>
      <c r="M140" s="81" t="str">
        <f t="shared" ca="1" si="13"/>
        <v/>
      </c>
      <c r="N140" s="81" t="str">
        <f t="shared" ca="1" si="14"/>
        <v/>
      </c>
      <c r="O140" s="81" t="str">
        <f t="shared" ca="1" si="15"/>
        <v/>
      </c>
      <c r="P140" s="81" t="str">
        <f t="shared" ca="1" si="16"/>
        <v/>
      </c>
      <c r="Q140" s="81" t="str">
        <f t="shared" ca="1" si="17"/>
        <v/>
      </c>
      <c r="S140" s="83"/>
      <c r="T140" s="84"/>
      <c r="U140" s="83"/>
      <c r="V140" s="84"/>
    </row>
    <row r="141" spans="2:22" x14ac:dyDescent="0.25">
      <c r="B141" s="68" t="str">
        <f ca="1">IFERROR(INDEX('Points Lookup'!$A:$A,MATCH($AA143,'Points Lookup'!$AN:$AN,0)),"")</f>
        <v/>
      </c>
      <c r="C141" s="81" t="str">
        <f ca="1">IF(B141="","",SUMIF(INDIRECT("'Points Lookup'!"&amp;VLOOKUP($B$2,Grades!A:BU,72,FALSE)&amp;":"&amp;VLOOKUP($B$2,Grades!A:BU,72,FALSE)),B141,INDIRECT("'Points Lookup'!"&amp;VLOOKUP($B$2,Grades!A:BU,73,FALSE)&amp;":"&amp;VLOOKUP($B$2,Grades!A:BU,73,FALSE))))</f>
        <v/>
      </c>
      <c r="D141" s="81"/>
      <c r="E141" s="81"/>
      <c r="F141" s="81" t="str">
        <f ca="1">IF($B141="","",IF(SUMIF(Grades!$A:$A,$B$2,Grades!$BO:$BO)=0,"-",IF(AND(VLOOKUP($B$2,Grades!$A:$BV,74,FALSE)="YES",B141&lt;Thresholds_Rates!$C$16),"-",$C141*Thresholds_Rates!$F$15)))</f>
        <v/>
      </c>
      <c r="G141" s="81" t="str">
        <f ca="1">IF(B141="","",IF(OR($B$2="Salary Points 3 to 57",$B$2="Salary Points 3 to 57 (post-pay award)"),"-",IF(SUMIF(Grades!$A:$A,$B$2,Grades!$BP:$BP)=0,"-",$C141*Thresholds_Rates!$F$16)))</f>
        <v/>
      </c>
      <c r="H141" s="81" t="str">
        <f ca="1">IF(B141="","",IF($B$2="Apprenticeship","-",IF(SUMIF(Grades!$A:$A,$B$2,Grades!$BQ:$BQ)=0,"-",IF(AND(VLOOKUP($B$2,Grades!$A:$BW,75,FALSE)="YES",B141&gt;Thresholds_Rates!$C$17),"-",$C141*Thresholds_Rates!$F$17))))</f>
        <v/>
      </c>
      <c r="I141" s="81"/>
      <c r="J141" s="81" t="str">
        <f ca="1">IF(B141="","",(C141*Thresholds_Rates!$C$12))</f>
        <v/>
      </c>
      <c r="K141" s="81"/>
      <c r="L141" s="68"/>
      <c r="M141" s="81" t="str">
        <f t="shared" ca="1" si="13"/>
        <v/>
      </c>
      <c r="N141" s="81" t="str">
        <f t="shared" ca="1" si="14"/>
        <v/>
      </c>
      <c r="O141" s="81" t="str">
        <f t="shared" ca="1" si="15"/>
        <v/>
      </c>
      <c r="P141" s="81" t="str">
        <f t="shared" ca="1" si="16"/>
        <v/>
      </c>
      <c r="Q141" s="81" t="str">
        <f t="shared" ca="1" si="17"/>
        <v/>
      </c>
      <c r="S141" s="83"/>
      <c r="T141" s="84"/>
      <c r="U141" s="83"/>
      <c r="V141" s="84"/>
    </row>
    <row r="142" spans="2:22" x14ac:dyDescent="0.25">
      <c r="B142" s="68" t="str">
        <f ca="1">IFERROR(INDEX('Points Lookup'!$A:$A,MATCH($AA144,'Points Lookup'!$AN:$AN,0)),"")</f>
        <v/>
      </c>
      <c r="C142" s="81" t="str">
        <f ca="1">IF(B142="","",SUMIF(INDIRECT("'Points Lookup'!"&amp;VLOOKUP($B$2,Grades!A:BU,72,FALSE)&amp;":"&amp;VLOOKUP($B$2,Grades!A:BU,72,FALSE)),B142,INDIRECT("'Points Lookup'!"&amp;VLOOKUP($B$2,Grades!A:BU,73,FALSE)&amp;":"&amp;VLOOKUP($B$2,Grades!A:BU,73,FALSE))))</f>
        <v/>
      </c>
      <c r="D142" s="81"/>
      <c r="E142" s="81"/>
      <c r="F142" s="81" t="str">
        <f ca="1">IF($B142="","",IF(SUMIF(Grades!$A:$A,$B$2,Grades!$BO:$BO)=0,"-",IF(AND(VLOOKUP($B$2,Grades!$A:$BV,74,FALSE)="YES",B142&lt;Thresholds_Rates!$C$16),"-",$C142*Thresholds_Rates!$F$15)))</f>
        <v/>
      </c>
      <c r="G142" s="81" t="str">
        <f ca="1">IF(B142="","",IF(OR($B$2="Salary Points 3 to 57",$B$2="Salary Points 3 to 57 (post-pay award)"),"-",IF(SUMIF(Grades!$A:$A,$B$2,Grades!$BP:$BP)=0,"-",$C142*Thresholds_Rates!$F$16)))</f>
        <v/>
      </c>
      <c r="H142" s="81" t="str">
        <f ca="1">IF(B142="","",IF($B$2="Apprenticeship","-",IF(SUMIF(Grades!$A:$A,$B$2,Grades!$BQ:$BQ)=0,"-",IF(AND(VLOOKUP($B$2,Grades!$A:$BW,75,FALSE)="YES",B142&gt;Thresholds_Rates!$C$17),"-",$C142*Thresholds_Rates!$F$17))))</f>
        <v/>
      </c>
      <c r="I142" s="81"/>
      <c r="J142" s="81" t="str">
        <f ca="1">IF(B142="","",(C142*Thresholds_Rates!$C$12))</f>
        <v/>
      </c>
      <c r="K142" s="81"/>
      <c r="L142" s="68"/>
      <c r="M142" s="81" t="str">
        <f t="shared" ca="1" si="13"/>
        <v/>
      </c>
      <c r="N142" s="81" t="str">
        <f t="shared" ca="1" si="14"/>
        <v/>
      </c>
      <c r="O142" s="81" t="str">
        <f t="shared" ca="1" si="15"/>
        <v/>
      </c>
      <c r="P142" s="81" t="str">
        <f t="shared" ca="1" si="16"/>
        <v/>
      </c>
      <c r="Q142" s="81" t="str">
        <f t="shared" ca="1" si="17"/>
        <v/>
      </c>
      <c r="S142" s="83"/>
      <c r="T142" s="84"/>
      <c r="U142" s="83"/>
      <c r="V142" s="84"/>
    </row>
    <row r="143" spans="2:22" x14ac:dyDescent="0.25">
      <c r="B143" s="68" t="str">
        <f ca="1">IFERROR(INDEX('Points Lookup'!$A:$A,MATCH($AA145,'Points Lookup'!$AN:$AN,0)),"")</f>
        <v/>
      </c>
      <c r="C143" s="81" t="str">
        <f ca="1">IF(B143="","",SUMIF(INDIRECT("'Points Lookup'!"&amp;VLOOKUP($B$2,Grades!A:BU,72,FALSE)&amp;":"&amp;VLOOKUP($B$2,Grades!A:BU,72,FALSE)),B143,INDIRECT("'Points Lookup'!"&amp;VLOOKUP($B$2,Grades!A:BU,73,FALSE)&amp;":"&amp;VLOOKUP($B$2,Grades!A:BU,73,FALSE))))</f>
        <v/>
      </c>
      <c r="D143" s="81"/>
      <c r="E143" s="81"/>
      <c r="F143" s="81" t="str">
        <f ca="1">IF($B143="","",IF(SUMIF(Grades!$A:$A,$B$2,Grades!$BO:$BO)=0,"-",IF(AND(VLOOKUP($B$2,Grades!$A:$BV,74,FALSE)="YES",B143&lt;Thresholds_Rates!$C$16),"-",$C143*Thresholds_Rates!$F$15)))</f>
        <v/>
      </c>
      <c r="G143" s="81" t="str">
        <f ca="1">IF(B143="","",IF(OR($B$2="Salary Points 3 to 57",$B$2="Salary Points 3 to 57 (post-pay award)"),"-",IF(SUMIF(Grades!$A:$A,$B$2,Grades!$BP:$BP)=0,"-",$C143*Thresholds_Rates!$F$16)))</f>
        <v/>
      </c>
      <c r="H143" s="81" t="str">
        <f ca="1">IF(B143="","",IF($B$2="Apprenticeship","-",IF(SUMIF(Grades!$A:$A,$B$2,Grades!$BQ:$BQ)=0,"-",IF(AND(VLOOKUP($B$2,Grades!$A:$BW,75,FALSE)="YES",B143&gt;Thresholds_Rates!$C$17),"-",$C143*Thresholds_Rates!$F$17))))</f>
        <v/>
      </c>
      <c r="I143" s="81"/>
      <c r="J143" s="81" t="str">
        <f ca="1">IF(B143="","",(C143*Thresholds_Rates!$C$12))</f>
        <v/>
      </c>
      <c r="K143" s="81"/>
      <c r="L143" s="68"/>
      <c r="M143" s="81" t="str">
        <f t="shared" ca="1" si="13"/>
        <v/>
      </c>
      <c r="N143" s="81" t="str">
        <f t="shared" ca="1" si="14"/>
        <v/>
      </c>
      <c r="O143" s="81" t="str">
        <f t="shared" ca="1" si="15"/>
        <v/>
      </c>
      <c r="P143" s="81" t="str">
        <f t="shared" ca="1" si="16"/>
        <v/>
      </c>
      <c r="Q143" s="81" t="str">
        <f t="shared" ca="1" si="17"/>
        <v/>
      </c>
      <c r="S143" s="83"/>
      <c r="T143" s="84"/>
      <c r="U143" s="83"/>
      <c r="V143" s="84"/>
    </row>
    <row r="144" spans="2:22" x14ac:dyDescent="0.25">
      <c r="B144" s="68" t="str">
        <f ca="1">IFERROR(INDEX('Points Lookup'!$A:$A,MATCH($AA146,'Points Lookup'!$AN:$AN,0)),"")</f>
        <v/>
      </c>
      <c r="C144" s="81" t="str">
        <f ca="1">IF(B144="","",SUMIF(INDIRECT("'Points Lookup'!"&amp;VLOOKUP($B$2,Grades!A:BU,72,FALSE)&amp;":"&amp;VLOOKUP($B$2,Grades!A:BU,72,FALSE)),B144,INDIRECT("'Points Lookup'!"&amp;VLOOKUP($B$2,Grades!A:BU,73,FALSE)&amp;":"&amp;VLOOKUP($B$2,Grades!A:BU,73,FALSE))))</f>
        <v/>
      </c>
      <c r="D144" s="81"/>
      <c r="E144" s="81"/>
      <c r="F144" s="81" t="str">
        <f ca="1">IF($B144="","",IF(SUMIF(Grades!$A:$A,$B$2,Grades!$BO:$BO)=0,"-",IF(AND(VLOOKUP($B$2,Grades!$A:$BV,74,FALSE)="YES",B144&lt;Thresholds_Rates!$C$16),"-",$C144*Thresholds_Rates!$F$15)))</f>
        <v/>
      </c>
      <c r="G144" s="81" t="str">
        <f ca="1">IF(B144="","",IF(OR($B$2="Salary Points 3 to 57",$B$2="Salary Points 3 to 57 (post-pay award)"),"-",IF(SUMIF(Grades!$A:$A,$B$2,Grades!$BP:$BP)=0,"-",$C144*Thresholds_Rates!$F$16)))</f>
        <v/>
      </c>
      <c r="H144" s="81" t="str">
        <f ca="1">IF(B144="","",IF($B$2="Apprenticeship","-",IF(SUMIF(Grades!$A:$A,$B$2,Grades!$BQ:$BQ)=0,"-",IF(AND(VLOOKUP($B$2,Grades!$A:$BW,75,FALSE)="YES",B144&gt;Thresholds_Rates!$C$17),"-",$C144*Thresholds_Rates!$F$17))))</f>
        <v/>
      </c>
      <c r="I144" s="81"/>
      <c r="J144" s="81" t="str">
        <f ca="1">IF(B144="","",(C144*Thresholds_Rates!$C$12))</f>
        <v/>
      </c>
      <c r="K144" s="81"/>
      <c r="L144" s="68"/>
      <c r="M144" s="81" t="str">
        <f t="shared" ca="1" si="13"/>
        <v/>
      </c>
      <c r="N144" s="81" t="str">
        <f t="shared" ca="1" si="14"/>
        <v/>
      </c>
      <c r="O144" s="81" t="str">
        <f t="shared" ca="1" si="15"/>
        <v/>
      </c>
      <c r="P144" s="81" t="str">
        <f t="shared" ca="1" si="16"/>
        <v/>
      </c>
      <c r="Q144" s="81" t="str">
        <f t="shared" ca="1" si="17"/>
        <v/>
      </c>
      <c r="S144" s="83"/>
      <c r="T144" s="84"/>
      <c r="U144" s="83"/>
      <c r="V144" s="84"/>
    </row>
    <row r="145" spans="2:22" x14ac:dyDescent="0.25">
      <c r="B145" s="68" t="str">
        <f ca="1">IFERROR(INDEX('Points Lookup'!$A:$A,MATCH($AA147,'Points Lookup'!$AN:$AN,0)),"")</f>
        <v/>
      </c>
      <c r="C145" s="81" t="str">
        <f ca="1">IF(B145="","",SUMIF(INDIRECT("'Points Lookup'!"&amp;VLOOKUP($B$2,Grades!A:BU,72,FALSE)&amp;":"&amp;VLOOKUP($B$2,Grades!A:BU,72,FALSE)),B145,INDIRECT("'Points Lookup'!"&amp;VLOOKUP($B$2,Grades!A:BU,73,FALSE)&amp;":"&amp;VLOOKUP($B$2,Grades!A:BU,73,FALSE))))</f>
        <v/>
      </c>
      <c r="D145" s="81"/>
      <c r="E145" s="81"/>
      <c r="F145" s="81" t="str">
        <f ca="1">IF($B145="","",IF(SUMIF(Grades!$A:$A,$B$2,Grades!$BO:$BO)=0,"-",IF(AND(VLOOKUP($B$2,Grades!$A:$BV,74,FALSE)="YES",B145&lt;Thresholds_Rates!$C$16),"-",$C145*Thresholds_Rates!$F$15)))</f>
        <v/>
      </c>
      <c r="G145" s="81" t="str">
        <f ca="1">IF(B145="","",IF(OR($B$2="Salary Points 3 to 57",$B$2="Salary Points 3 to 57 (post-pay award)"),"-",IF(SUMIF(Grades!$A:$A,$B$2,Grades!$BP:$BP)=0,"-",$C145*Thresholds_Rates!$F$16)))</f>
        <v/>
      </c>
      <c r="H145" s="81" t="str">
        <f ca="1">IF(B145="","",IF($B$2="Apprenticeship","-",IF(SUMIF(Grades!$A:$A,$B$2,Grades!$BQ:$BQ)=0,"-",IF(AND(VLOOKUP($B$2,Grades!$A:$BW,75,FALSE)="YES",B145&gt;Thresholds_Rates!$C$17),"-",$C145*Thresholds_Rates!$F$17))))</f>
        <v/>
      </c>
      <c r="I145" s="81"/>
      <c r="J145" s="81" t="str">
        <f ca="1">IF(B145="","",(C145*Thresholds_Rates!$C$12))</f>
        <v/>
      </c>
      <c r="K145" s="81"/>
      <c r="L145" s="68"/>
      <c r="M145" s="81" t="str">
        <f t="shared" ca="1" si="13"/>
        <v/>
      </c>
      <c r="N145" s="81" t="str">
        <f t="shared" ca="1" si="14"/>
        <v/>
      </c>
      <c r="O145" s="81" t="str">
        <f t="shared" ca="1" si="15"/>
        <v/>
      </c>
      <c r="P145" s="81" t="str">
        <f t="shared" ca="1" si="16"/>
        <v/>
      </c>
      <c r="Q145" s="81" t="str">
        <f t="shared" ca="1" si="17"/>
        <v/>
      </c>
      <c r="S145" s="83"/>
      <c r="T145" s="84"/>
      <c r="U145" s="83"/>
      <c r="V145" s="84"/>
    </row>
    <row r="146" spans="2:22" x14ac:dyDescent="0.25">
      <c r="B146" s="68" t="str">
        <f ca="1">IFERROR(INDEX('Points Lookup'!$A:$A,MATCH($AA148,'Points Lookup'!$AN:$AN,0)),"")</f>
        <v/>
      </c>
      <c r="C146" s="81" t="str">
        <f ca="1">IF(B146="","",SUMIF(INDIRECT("'Points Lookup'!"&amp;VLOOKUP($B$2,Grades!A:BU,72,FALSE)&amp;":"&amp;VLOOKUP($B$2,Grades!A:BU,72,FALSE)),B146,INDIRECT("'Points Lookup'!"&amp;VLOOKUP($B$2,Grades!A:BU,73,FALSE)&amp;":"&amp;VLOOKUP($B$2,Grades!A:BU,73,FALSE))))</f>
        <v/>
      </c>
      <c r="D146" s="81"/>
      <c r="E146" s="81"/>
      <c r="F146" s="81" t="str">
        <f ca="1">IF($B146="","",IF(SUMIF(Grades!$A:$A,$B$2,Grades!$BO:$BO)=0,"-",IF(AND(VLOOKUP($B$2,Grades!$A:$BV,74,FALSE)="YES",B146&lt;Thresholds_Rates!$C$16),"-",$C146*Thresholds_Rates!$F$15)))</f>
        <v/>
      </c>
      <c r="G146" s="81" t="str">
        <f ca="1">IF(B146="","",IF(OR($B$2="Salary Points 3 to 57",$B$2="Salary Points 3 to 57 (post-pay award)"),"-",IF(SUMIF(Grades!$A:$A,$B$2,Grades!$BP:$BP)=0,"-",$C146*Thresholds_Rates!$F$16)))</f>
        <v/>
      </c>
      <c r="H146" s="81" t="str">
        <f ca="1">IF(B146="","",IF($B$2="Apprenticeship","-",IF(SUMIF(Grades!$A:$A,$B$2,Grades!$BQ:$BQ)=0,"-",IF(AND(VLOOKUP($B$2,Grades!$A:$BW,75,FALSE)="YES",B146&gt;Thresholds_Rates!$C$17),"-",$C146*Thresholds_Rates!$F$17))))</f>
        <v/>
      </c>
      <c r="I146" s="81"/>
      <c r="J146" s="81" t="str">
        <f ca="1">IF(B146="","",(C146*Thresholds_Rates!$C$12))</f>
        <v/>
      </c>
      <c r="K146" s="81"/>
      <c r="L146" s="68"/>
      <c r="M146" s="81" t="str">
        <f t="shared" ca="1" si="13"/>
        <v/>
      </c>
      <c r="N146" s="81" t="str">
        <f t="shared" ca="1" si="14"/>
        <v/>
      </c>
      <c r="O146" s="81" t="str">
        <f t="shared" ca="1" si="15"/>
        <v/>
      </c>
      <c r="P146" s="81" t="str">
        <f t="shared" ca="1" si="16"/>
        <v/>
      </c>
      <c r="Q146" s="81" t="str">
        <f t="shared" ca="1" si="17"/>
        <v/>
      </c>
      <c r="S146" s="83"/>
      <c r="T146" s="84"/>
      <c r="U146" s="83"/>
      <c r="V146" s="84"/>
    </row>
    <row r="147" spans="2:22" x14ac:dyDescent="0.25">
      <c r="B147" s="68" t="str">
        <f ca="1">IFERROR(INDEX('Points Lookup'!$A:$A,MATCH($AA149,'Points Lookup'!$AN:$AN,0)),"")</f>
        <v/>
      </c>
      <c r="C147" s="81" t="str">
        <f ca="1">IF(B147="","",SUMIF(INDIRECT("'Points Lookup'!"&amp;VLOOKUP($B$2,Grades!A:BU,72,FALSE)&amp;":"&amp;VLOOKUP($B$2,Grades!A:BU,72,FALSE)),B147,INDIRECT("'Points Lookup'!"&amp;VLOOKUP($B$2,Grades!A:BU,73,FALSE)&amp;":"&amp;VLOOKUP($B$2,Grades!A:BU,73,FALSE))))</f>
        <v/>
      </c>
      <c r="D147" s="81"/>
      <c r="E147" s="81"/>
      <c r="F147" s="81" t="str">
        <f ca="1">IF($B147="","",IF(SUMIF(Grades!$A:$A,$B$2,Grades!$BO:$BO)=0,"-",IF(AND(VLOOKUP($B$2,Grades!$A:$BV,74,FALSE)="YES",B147&lt;Thresholds_Rates!$C$16),"-",$C147*Thresholds_Rates!$F$15)))</f>
        <v/>
      </c>
      <c r="G147" s="81" t="str">
        <f ca="1">IF(B147="","",IF(OR($B$2="Salary Points 3 to 57",$B$2="Salary Points 3 to 57 (post-pay award)"),"-",IF(SUMIF(Grades!$A:$A,$B$2,Grades!$BP:$BP)=0,"-",$C147*Thresholds_Rates!$F$16)))</f>
        <v/>
      </c>
      <c r="H147" s="81" t="str">
        <f ca="1">IF(B147="","",IF($B$2="Apprenticeship","-",IF(SUMIF(Grades!$A:$A,$B$2,Grades!$BQ:$BQ)=0,"-",IF(AND(VLOOKUP($B$2,Grades!$A:$BW,75,FALSE)="YES",B147&gt;Thresholds_Rates!$C$17),"-",$C147*Thresholds_Rates!$F$17))))</f>
        <v/>
      </c>
      <c r="I147" s="81"/>
      <c r="J147" s="81" t="str">
        <f ca="1">IF(B147="","",(C147*Thresholds_Rates!$C$12))</f>
        <v/>
      </c>
      <c r="K147" s="81"/>
      <c r="L147" s="68"/>
      <c r="M147" s="81" t="str">
        <f t="shared" ca="1" si="13"/>
        <v/>
      </c>
      <c r="N147" s="81" t="str">
        <f t="shared" ca="1" si="14"/>
        <v/>
      </c>
      <c r="O147" s="81" t="str">
        <f t="shared" ca="1" si="15"/>
        <v/>
      </c>
      <c r="P147" s="81" t="str">
        <f t="shared" ca="1" si="16"/>
        <v/>
      </c>
      <c r="Q147" s="81" t="str">
        <f t="shared" ca="1" si="17"/>
        <v/>
      </c>
      <c r="S147" s="83"/>
      <c r="T147" s="84"/>
      <c r="U147" s="83"/>
      <c r="V147" s="84"/>
    </row>
    <row r="148" spans="2:22" x14ac:dyDescent="0.25">
      <c r="B148" s="68" t="str">
        <f ca="1">IFERROR(INDEX('Points Lookup'!$A:$A,MATCH($AA150,'Points Lookup'!$AN:$AN,0)),"")</f>
        <v/>
      </c>
      <c r="C148" s="81" t="str">
        <f ca="1">IF(B148="","",SUMIF(INDIRECT("'Points Lookup'!"&amp;VLOOKUP($B$2,Grades!A:BU,72,FALSE)&amp;":"&amp;VLOOKUP($B$2,Grades!A:BU,72,FALSE)),B148,INDIRECT("'Points Lookup'!"&amp;VLOOKUP($B$2,Grades!A:BU,73,FALSE)&amp;":"&amp;VLOOKUP($B$2,Grades!A:BU,73,FALSE))))</f>
        <v/>
      </c>
      <c r="D148" s="81"/>
      <c r="E148" s="81"/>
      <c r="F148" s="81" t="str">
        <f ca="1">IF($B148="","",IF(SUMIF(Grades!$A:$A,$B$2,Grades!$BO:$BO)=0,"-",IF(AND(VLOOKUP($B$2,Grades!$A:$BV,74,FALSE)="YES",B148&lt;Thresholds_Rates!$C$16),"-",$C148*Thresholds_Rates!$F$15)))</f>
        <v/>
      </c>
      <c r="G148" s="81" t="str">
        <f ca="1">IF(B148="","",IF(OR($B$2="Salary Points 3 to 57",$B$2="Salary Points 3 to 57 (post-pay award)"),"-",IF(SUMIF(Grades!$A:$A,$B$2,Grades!$BP:$BP)=0,"-",$C148*Thresholds_Rates!$F$16)))</f>
        <v/>
      </c>
      <c r="H148" s="81" t="str">
        <f ca="1">IF(B148="","",IF($B$2="Apprenticeship","-",IF(SUMIF(Grades!$A:$A,$B$2,Grades!$BQ:$BQ)=0,"-",IF(AND(VLOOKUP($B$2,Grades!$A:$BW,75,FALSE)="YES",B148&gt;Thresholds_Rates!$C$17),"-",$C148*Thresholds_Rates!$F$17))))</f>
        <v/>
      </c>
      <c r="I148" s="81"/>
      <c r="J148" s="81" t="str">
        <f ca="1">IF(B148="","",(C148*Thresholds_Rates!$C$12))</f>
        <v/>
      </c>
      <c r="K148" s="81"/>
      <c r="L148" s="68"/>
      <c r="M148" s="81" t="str">
        <f t="shared" ca="1" si="13"/>
        <v/>
      </c>
      <c r="N148" s="81" t="str">
        <f t="shared" ca="1" si="14"/>
        <v/>
      </c>
      <c r="O148" s="81" t="str">
        <f t="shared" ca="1" si="15"/>
        <v/>
      </c>
      <c r="P148" s="81" t="str">
        <f t="shared" ca="1" si="16"/>
        <v/>
      </c>
      <c r="Q148" s="81" t="str">
        <f t="shared" ca="1" si="17"/>
        <v/>
      </c>
      <c r="S148" s="83"/>
      <c r="T148" s="84"/>
      <c r="U148" s="83"/>
      <c r="V148" s="84"/>
    </row>
    <row r="149" spans="2:22" x14ac:dyDescent="0.25">
      <c r="B149" s="68" t="str">
        <f ca="1">IFERROR(INDEX('Points Lookup'!$A:$A,MATCH($AA151,'Points Lookup'!$AN:$AN,0)),"")</f>
        <v/>
      </c>
      <c r="C149" s="81" t="str">
        <f ca="1">IF(B149="","",SUMIF(INDIRECT("'Points Lookup'!"&amp;VLOOKUP($B$2,Grades!A:BU,72,FALSE)&amp;":"&amp;VLOOKUP($B$2,Grades!A:BU,72,FALSE)),B149,INDIRECT("'Points Lookup'!"&amp;VLOOKUP($B$2,Grades!A:BU,73,FALSE)&amp;":"&amp;VLOOKUP($B$2,Grades!A:BU,73,FALSE))))</f>
        <v/>
      </c>
      <c r="D149" s="81"/>
      <c r="E149" s="81"/>
      <c r="F149" s="81" t="str">
        <f ca="1">IF($B149="","",IF(SUMIF(Grades!$A:$A,$B$2,Grades!$BO:$BO)=0,"-",IF(AND(VLOOKUP($B$2,Grades!$A:$BV,74,FALSE)="YES",B149&lt;Thresholds_Rates!$C$16),"-",$C149*Thresholds_Rates!$F$15)))</f>
        <v/>
      </c>
      <c r="G149" s="81" t="str">
        <f ca="1">IF(B149="","",IF(OR($B$2="Salary Points 3 to 57",$B$2="Salary Points 3 to 57 (post-pay award)"),"-",IF(SUMIF(Grades!$A:$A,$B$2,Grades!$BP:$BP)=0,"-",$C149*Thresholds_Rates!$F$16)))</f>
        <v/>
      </c>
      <c r="H149" s="81" t="str">
        <f ca="1">IF(B149="","",IF($B$2="Apprenticeship","-",IF(SUMIF(Grades!$A:$A,$B$2,Grades!$BQ:$BQ)=0,"-",IF(AND(VLOOKUP($B$2,Grades!$A:$BW,75,FALSE)="YES",B149&gt;Thresholds_Rates!$C$17),"-",$C149*Thresholds_Rates!$F$17))))</f>
        <v/>
      </c>
      <c r="I149" s="81"/>
      <c r="J149" s="81" t="str">
        <f ca="1">IF(B149="","",(C149*Thresholds_Rates!$C$12))</f>
        <v/>
      </c>
      <c r="K149" s="81"/>
      <c r="L149" s="68"/>
      <c r="M149" s="81" t="str">
        <f t="shared" ca="1" si="13"/>
        <v/>
      </c>
      <c r="N149" s="81" t="str">
        <f t="shared" ca="1" si="14"/>
        <v/>
      </c>
      <c r="O149" s="81" t="str">
        <f t="shared" ca="1" si="15"/>
        <v/>
      </c>
      <c r="P149" s="81" t="str">
        <f t="shared" ca="1" si="16"/>
        <v/>
      </c>
      <c r="Q149" s="81" t="str">
        <f t="shared" ca="1" si="17"/>
        <v/>
      </c>
      <c r="S149" s="83"/>
      <c r="T149" s="84"/>
      <c r="U149" s="83"/>
      <c r="V149" s="84"/>
    </row>
    <row r="150" spans="2:22" x14ac:dyDescent="0.25">
      <c r="B150" s="68" t="str">
        <f ca="1">IFERROR(INDEX('Points Lookup'!$A:$A,MATCH($AA152,'Points Lookup'!$AN:$AN,0)),"")</f>
        <v/>
      </c>
      <c r="C150" s="81" t="str">
        <f ca="1">IF(B150="","",SUMIF(INDIRECT("'Points Lookup'!"&amp;VLOOKUP($B$2,Grades!A:BU,72,FALSE)&amp;":"&amp;VLOOKUP($B$2,Grades!A:BU,72,FALSE)),B150,INDIRECT("'Points Lookup'!"&amp;VLOOKUP($B$2,Grades!A:BU,73,FALSE)&amp;":"&amp;VLOOKUP($B$2,Grades!A:BU,73,FALSE))))</f>
        <v/>
      </c>
      <c r="D150" s="81"/>
      <c r="E150" s="81"/>
      <c r="F150" s="81" t="str">
        <f ca="1">IF($B150="","",IF(SUMIF(Grades!$A:$A,$B$2,Grades!$BO:$BO)=0,"-",IF(AND(VLOOKUP($B$2,Grades!$A:$BV,74,FALSE)="YES",B150&lt;Thresholds_Rates!$C$16),"-",$C150*Thresholds_Rates!$F$15)))</f>
        <v/>
      </c>
      <c r="G150" s="81" t="str">
        <f ca="1">IF(B150="","",IF(OR($B$2="Salary Points 3 to 57",$B$2="Salary Points 3 to 57 (post-pay award)"),"-",IF(SUMIF(Grades!$A:$A,$B$2,Grades!$BP:$BP)=0,"-",$C150*Thresholds_Rates!$F$16)))</f>
        <v/>
      </c>
      <c r="H150" s="81" t="str">
        <f ca="1">IF(B150="","",IF($B$2="Apprenticeship","-",IF(SUMIF(Grades!$A:$A,$B$2,Grades!$BQ:$BQ)=0,"-",IF(AND(VLOOKUP($B$2,Grades!$A:$BW,75,FALSE)="YES",B150&gt;Thresholds_Rates!$C$17),"-",$C150*Thresholds_Rates!$F$17))))</f>
        <v/>
      </c>
      <c r="I150" s="81"/>
      <c r="J150" s="81" t="str">
        <f ca="1">IF(B150="","",(C150*Thresholds_Rates!$C$12))</f>
        <v/>
      </c>
      <c r="K150" s="81"/>
      <c r="L150" s="68"/>
      <c r="M150" s="81" t="str">
        <f t="shared" ca="1" si="13"/>
        <v/>
      </c>
      <c r="N150" s="81" t="str">
        <f t="shared" ca="1" si="14"/>
        <v/>
      </c>
      <c r="O150" s="81" t="str">
        <f t="shared" ca="1" si="15"/>
        <v/>
      </c>
      <c r="P150" s="81" t="str">
        <f t="shared" ca="1" si="16"/>
        <v/>
      </c>
      <c r="Q150" s="81" t="str">
        <f t="shared" ca="1" si="17"/>
        <v/>
      </c>
      <c r="S150" s="83"/>
      <c r="T150" s="84"/>
      <c r="U150" s="83"/>
      <c r="V150" s="84"/>
    </row>
    <row r="151" spans="2:22" x14ac:dyDescent="0.25">
      <c r="B151" s="68" t="str">
        <f ca="1">IFERROR(INDEX('Points Lookup'!$A:$A,MATCH($AA153,'Points Lookup'!$AN:$AN,0)),"")</f>
        <v/>
      </c>
      <c r="C151" s="81" t="str">
        <f ca="1">IF(B151="","",SUMIF(INDIRECT("'Points Lookup'!"&amp;VLOOKUP($B$2,Grades!A:BU,72,FALSE)&amp;":"&amp;VLOOKUP($B$2,Grades!A:BU,72,FALSE)),B151,INDIRECT("'Points Lookup'!"&amp;VLOOKUP($B$2,Grades!A:BU,73,FALSE)&amp;":"&amp;VLOOKUP($B$2,Grades!A:BU,73,FALSE))))</f>
        <v/>
      </c>
      <c r="D151" s="81"/>
      <c r="E151" s="81"/>
      <c r="F151" s="81" t="str">
        <f ca="1">IF($B151="","",IF(SUMIF(Grades!$A:$A,$B$2,Grades!$BO:$BO)=0,"-",IF(AND(VLOOKUP($B$2,Grades!$A:$BV,74,FALSE)="YES",B151&lt;Thresholds_Rates!$C$16),"-",$C151*Thresholds_Rates!$F$15)))</f>
        <v/>
      </c>
      <c r="G151" s="81" t="str">
        <f ca="1">IF(B151="","",IF(OR($B$2="Salary Points 3 to 57",$B$2="Salary Points 3 to 57 (post-pay award)"),"-",IF(SUMIF(Grades!$A:$A,$B$2,Grades!$BP:$BP)=0,"-",$C151*Thresholds_Rates!$F$16)))</f>
        <v/>
      </c>
      <c r="H151" s="81" t="str">
        <f ca="1">IF(B151="","",IF($B$2="Apprenticeship","-",IF(SUMIF(Grades!$A:$A,$B$2,Grades!$BQ:$BQ)=0,"-",IF(AND(VLOOKUP($B$2,Grades!$A:$BW,75,FALSE)="YES",B151&gt;Thresholds_Rates!$C$17),"-",$C151*Thresholds_Rates!$F$17))))</f>
        <v/>
      </c>
      <c r="I151" s="81"/>
      <c r="J151" s="81" t="str">
        <f ca="1">IF(B151="","",(C151*Thresholds_Rates!$C$12))</f>
        <v/>
      </c>
      <c r="K151" s="81"/>
      <c r="L151" s="68"/>
      <c r="M151" s="81" t="str">
        <f t="shared" ca="1" si="13"/>
        <v/>
      </c>
      <c r="N151" s="81" t="str">
        <f t="shared" ca="1" si="14"/>
        <v/>
      </c>
      <c r="O151" s="81" t="str">
        <f t="shared" ca="1" si="15"/>
        <v/>
      </c>
      <c r="P151" s="81" t="str">
        <f t="shared" ca="1" si="16"/>
        <v/>
      </c>
      <c r="Q151" s="81" t="str">
        <f t="shared" ca="1" si="17"/>
        <v/>
      </c>
      <c r="S151" s="83"/>
      <c r="T151" s="84"/>
      <c r="U151" s="83"/>
      <c r="V151" s="84"/>
    </row>
    <row r="152" spans="2:22" x14ac:dyDescent="0.25">
      <c r="B152" s="68" t="str">
        <f ca="1">IFERROR(INDEX('Points Lookup'!$A:$A,MATCH($AA154,'Points Lookup'!$AN:$AN,0)),"")</f>
        <v/>
      </c>
      <c r="C152" s="81" t="str">
        <f ca="1">IF(B152="","",SUMIF(INDIRECT("'Points Lookup'!"&amp;VLOOKUP($B$2,Grades!A:BU,72,FALSE)&amp;":"&amp;VLOOKUP($B$2,Grades!A:BU,72,FALSE)),B152,INDIRECT("'Points Lookup'!"&amp;VLOOKUP($B$2,Grades!A:BU,73,FALSE)&amp;":"&amp;VLOOKUP($B$2,Grades!A:BU,73,FALSE))))</f>
        <v/>
      </c>
      <c r="D152" s="81"/>
      <c r="E152" s="81"/>
      <c r="F152" s="81" t="str">
        <f ca="1">IF($B152="","",IF(SUMIF(Grades!$A:$A,$B$2,Grades!$BO:$BO)=0,"-",IF(AND(VLOOKUP($B$2,Grades!$A:$BV,74,FALSE)="YES",B152&lt;Thresholds_Rates!$C$16),"-",$C152*Thresholds_Rates!$F$15)))</f>
        <v/>
      </c>
      <c r="G152" s="81" t="str">
        <f ca="1">IF(B152="","",IF(OR($B$2="Salary Points 3 to 57",$B$2="Salary Points 3 to 57 (post-pay award)"),"-",IF(SUMIF(Grades!$A:$A,$B$2,Grades!$BP:$BP)=0,"-",$C152*Thresholds_Rates!$F$16)))</f>
        <v/>
      </c>
      <c r="H152" s="81" t="str">
        <f ca="1">IF(B152="","",IF($B$2="Apprenticeship","-",IF(SUMIF(Grades!$A:$A,$B$2,Grades!$BQ:$BQ)=0,"-",IF(AND(VLOOKUP($B$2,Grades!$A:$BW,75,FALSE)="YES",B152&gt;Thresholds_Rates!$C$17),"-",$C152*Thresholds_Rates!$F$17))))</f>
        <v/>
      </c>
      <c r="I152" s="81"/>
      <c r="J152" s="81" t="str">
        <f ca="1">IF(B152="","",(C152*Thresholds_Rates!$C$12))</f>
        <v/>
      </c>
      <c r="K152" s="81"/>
      <c r="L152" s="68"/>
      <c r="M152" s="81" t="str">
        <f t="shared" ca="1" si="13"/>
        <v/>
      </c>
      <c r="N152" s="81" t="str">
        <f t="shared" ca="1" si="14"/>
        <v/>
      </c>
      <c r="O152" s="81" t="str">
        <f t="shared" ca="1" si="15"/>
        <v/>
      </c>
      <c r="P152" s="81" t="str">
        <f t="shared" ca="1" si="16"/>
        <v/>
      </c>
      <c r="Q152" s="81" t="str">
        <f t="shared" ca="1" si="17"/>
        <v/>
      </c>
      <c r="S152" s="83"/>
      <c r="T152" s="84"/>
      <c r="U152" s="83"/>
      <c r="V152" s="84"/>
    </row>
    <row r="153" spans="2:22" x14ac:dyDescent="0.25">
      <c r="B153" s="68" t="str">
        <f ca="1">IFERROR(INDEX('Points Lookup'!$A:$A,MATCH($AA155,'Points Lookup'!$AN:$AN,0)),"")</f>
        <v/>
      </c>
      <c r="C153" s="81" t="str">
        <f ca="1">IF(B153="","",SUMIF(INDIRECT("'Points Lookup'!"&amp;VLOOKUP($B$2,Grades!A:BU,72,FALSE)&amp;":"&amp;VLOOKUP($B$2,Grades!A:BU,72,FALSE)),B153,INDIRECT("'Points Lookup'!"&amp;VLOOKUP($B$2,Grades!A:BU,73,FALSE)&amp;":"&amp;VLOOKUP($B$2,Grades!A:BU,73,FALSE))))</f>
        <v/>
      </c>
      <c r="D153" s="81"/>
      <c r="E153" s="81"/>
      <c r="F153" s="81" t="str">
        <f ca="1">IF($B153="","",IF(SUMIF(Grades!$A:$A,$B$2,Grades!$BO:$BO)=0,"-",IF(AND(VLOOKUP($B$2,Grades!$A:$BV,74,FALSE)="YES",B153&lt;Thresholds_Rates!$C$16),"-",$C153*Thresholds_Rates!$F$15)))</f>
        <v/>
      </c>
      <c r="G153" s="81" t="str">
        <f ca="1">IF(B153="","",IF(OR($B$2="Salary Points 3 to 57",$B$2="Salary Points 3 to 57 (post-pay award)"),"-",IF(SUMIF(Grades!$A:$A,$B$2,Grades!$BP:$BP)=0,"-",$C153*Thresholds_Rates!$F$16)))</f>
        <v/>
      </c>
      <c r="H153" s="81" t="str">
        <f ca="1">IF(B153="","",IF($B$2="Apprenticeship","-",IF(SUMIF(Grades!$A:$A,$B$2,Grades!$BQ:$BQ)=0,"-",IF(AND(VLOOKUP($B$2,Grades!$A:$BW,75,FALSE)="YES",B153&gt;Thresholds_Rates!$C$17),"-",$C153*Thresholds_Rates!$F$17))))</f>
        <v/>
      </c>
      <c r="I153" s="81"/>
      <c r="J153" s="81" t="str">
        <f ca="1">IF(B153="","",(C153*Thresholds_Rates!$C$12))</f>
        <v/>
      </c>
      <c r="K153" s="81"/>
      <c r="L153" s="68"/>
      <c r="M153" s="81" t="str">
        <f t="shared" ca="1" si="13"/>
        <v/>
      </c>
      <c r="N153" s="81" t="str">
        <f t="shared" ca="1" si="14"/>
        <v/>
      </c>
      <c r="O153" s="81" t="str">
        <f t="shared" ca="1" si="15"/>
        <v/>
      </c>
      <c r="P153" s="81" t="str">
        <f t="shared" ca="1" si="16"/>
        <v/>
      </c>
      <c r="Q153" s="81" t="str">
        <f t="shared" ca="1" si="17"/>
        <v/>
      </c>
      <c r="S153" s="83"/>
      <c r="T153" s="84"/>
      <c r="U153" s="83"/>
      <c r="V153" s="84"/>
    </row>
    <row r="154" spans="2:22" x14ac:dyDescent="0.25">
      <c r="B154" s="68" t="str">
        <f ca="1">IFERROR(INDEX('Points Lookup'!$A:$A,MATCH($AA156,'Points Lookup'!$AN:$AN,0)),"")</f>
        <v/>
      </c>
      <c r="C154" s="81" t="str">
        <f ca="1">IF(B154="","",SUMIF(INDIRECT("'Points Lookup'!"&amp;VLOOKUP($B$2,Grades!A:BU,72,FALSE)&amp;":"&amp;VLOOKUP($B$2,Grades!A:BU,72,FALSE)),B154,INDIRECT("'Points Lookup'!"&amp;VLOOKUP($B$2,Grades!A:BU,73,FALSE)&amp;":"&amp;VLOOKUP($B$2,Grades!A:BU,73,FALSE))))</f>
        <v/>
      </c>
      <c r="D154" s="81"/>
      <c r="E154" s="81"/>
      <c r="F154" s="81" t="str">
        <f ca="1">IF($B154="","",IF(SUMIF(Grades!$A:$A,$B$2,Grades!$BO:$BO)=0,"-",IF(AND(VLOOKUP($B$2,Grades!$A:$BV,74,FALSE)="YES",B154&lt;Thresholds_Rates!$C$16),"-",$C154*Thresholds_Rates!$F$15)))</f>
        <v/>
      </c>
      <c r="G154" s="81" t="str">
        <f ca="1">IF(B154="","",IF(OR($B$2="Salary Points 3 to 57",$B$2="Salary Points 3 to 57 (post-pay award)"),"-",IF(SUMIF(Grades!$A:$A,$B$2,Grades!$BP:$BP)=0,"-",$C154*Thresholds_Rates!$F$16)))</f>
        <v/>
      </c>
      <c r="H154" s="81" t="str">
        <f ca="1">IF(B154="","",IF($B$2="Apprenticeship","-",IF(SUMIF(Grades!$A:$A,$B$2,Grades!$BQ:$BQ)=0,"-",IF(AND(VLOOKUP($B$2,Grades!$A:$BW,75,FALSE)="YES",B154&gt;Thresholds_Rates!$C$17),"-",$C154*Thresholds_Rates!$F$17))))</f>
        <v/>
      </c>
      <c r="I154" s="81"/>
      <c r="J154" s="81" t="str">
        <f ca="1">IF(B154="","",(C154*Thresholds_Rates!$C$12))</f>
        <v/>
      </c>
      <c r="K154" s="81"/>
      <c r="L154" s="68"/>
      <c r="M154" s="81" t="str">
        <f t="shared" ca="1" si="13"/>
        <v/>
      </c>
      <c r="N154" s="81" t="str">
        <f t="shared" ca="1" si="14"/>
        <v/>
      </c>
      <c r="O154" s="81" t="str">
        <f t="shared" ca="1" si="15"/>
        <v/>
      </c>
      <c r="P154" s="81" t="str">
        <f t="shared" ca="1" si="16"/>
        <v/>
      </c>
      <c r="Q154" s="81" t="str">
        <f t="shared" ca="1" si="17"/>
        <v/>
      </c>
      <c r="S154" s="83"/>
      <c r="T154" s="84"/>
      <c r="U154" s="83"/>
      <c r="V154" s="84"/>
    </row>
    <row r="155" spans="2:22" x14ac:dyDescent="0.25">
      <c r="B155" s="68" t="str">
        <f ca="1">IFERROR(INDEX('Points Lookup'!$A:$A,MATCH($AA157,'Points Lookup'!$AN:$AN,0)),"")</f>
        <v/>
      </c>
      <c r="C155" s="81" t="str">
        <f ca="1">IF(B155="","",SUMIF(INDIRECT("'Points Lookup'!"&amp;VLOOKUP($B$2,Grades!A:BU,72,FALSE)&amp;":"&amp;VLOOKUP($B$2,Grades!A:BU,72,FALSE)),B155,INDIRECT("'Points Lookup'!"&amp;VLOOKUP($B$2,Grades!A:BU,73,FALSE)&amp;":"&amp;VLOOKUP($B$2,Grades!A:BU,73,FALSE))))</f>
        <v/>
      </c>
      <c r="D155" s="81"/>
      <c r="E155" s="81"/>
      <c r="F155" s="81" t="str">
        <f ca="1">IF($B155="","",IF(SUMIF(Grades!$A:$A,$B$2,Grades!$BO:$BO)=0,"-",IF(AND(VLOOKUP($B$2,Grades!$A:$BV,74,FALSE)="YES",B155&lt;Thresholds_Rates!$C$16),"-",$C155*Thresholds_Rates!$F$15)))</f>
        <v/>
      </c>
      <c r="G155" s="81" t="str">
        <f ca="1">IF(B155="","",IF(OR($B$2="Salary Points 3 to 57",$B$2="Salary Points 3 to 57 (post-pay award)"),"-",IF(SUMIF(Grades!$A:$A,$B$2,Grades!$BP:$BP)=0,"-",$C155*Thresholds_Rates!$F$16)))</f>
        <v/>
      </c>
      <c r="H155" s="81" t="str">
        <f ca="1">IF(B155="","",IF($B$2="Apprenticeship","-",IF(SUMIF(Grades!$A:$A,$B$2,Grades!$BQ:$BQ)=0,"-",IF(AND(VLOOKUP($B$2,Grades!$A:$BW,75,FALSE)="YES",B155&gt;Thresholds_Rates!$C$17),"-",$C155*Thresholds_Rates!$F$17))))</f>
        <v/>
      </c>
      <c r="I155" s="81"/>
      <c r="J155" s="81" t="str">
        <f ca="1">IF(B155="","",(C155*Thresholds_Rates!$C$12))</f>
        <v/>
      </c>
      <c r="K155" s="81"/>
      <c r="L155" s="68"/>
      <c r="M155" s="81" t="str">
        <f t="shared" ca="1" si="13"/>
        <v/>
      </c>
      <c r="N155" s="81" t="str">
        <f t="shared" ca="1" si="14"/>
        <v/>
      </c>
      <c r="O155" s="81" t="str">
        <f t="shared" ca="1" si="15"/>
        <v/>
      </c>
      <c r="P155" s="81" t="str">
        <f t="shared" ca="1" si="16"/>
        <v/>
      </c>
      <c r="Q155" s="81" t="str">
        <f t="shared" ca="1" si="17"/>
        <v/>
      </c>
      <c r="S155" s="83"/>
      <c r="T155" s="84"/>
      <c r="U155" s="83"/>
      <c r="V155" s="84"/>
    </row>
    <row r="156" spans="2:22" x14ac:dyDescent="0.25">
      <c r="B156" s="68" t="str">
        <f ca="1">IFERROR(INDEX('Points Lookup'!$A:$A,MATCH($AA158,'Points Lookup'!$AN:$AN,0)),"")</f>
        <v/>
      </c>
      <c r="C156" s="81" t="str">
        <f ca="1">IF(B156="","",SUMIF(INDIRECT("'Points Lookup'!"&amp;VLOOKUP($B$2,Grades!A:BU,72,FALSE)&amp;":"&amp;VLOOKUP($B$2,Grades!A:BU,72,FALSE)),B156,INDIRECT("'Points Lookup'!"&amp;VLOOKUP($B$2,Grades!A:BU,73,FALSE)&amp;":"&amp;VLOOKUP($B$2,Grades!A:BU,73,FALSE))))</f>
        <v/>
      </c>
      <c r="D156" s="81"/>
      <c r="E156" s="81"/>
      <c r="F156" s="81" t="str">
        <f ca="1">IF($B156="","",IF(SUMIF(Grades!$A:$A,$B$2,Grades!$BO:$BO)=0,"-",IF(AND(VLOOKUP($B$2,Grades!$A:$BV,74,FALSE)="YES",B156&lt;Thresholds_Rates!$C$16),"-",$C156*Thresholds_Rates!$F$15)))</f>
        <v/>
      </c>
      <c r="G156" s="81" t="str">
        <f ca="1">IF(B156="","",IF(OR($B$2="Salary Points 3 to 57",$B$2="Salary Points 3 to 57 (post-pay award)"),"-",IF(SUMIF(Grades!$A:$A,$B$2,Grades!$BP:$BP)=0,"-",$C156*Thresholds_Rates!$F$16)))</f>
        <v/>
      </c>
      <c r="H156" s="81" t="str">
        <f ca="1">IF(B156="","",IF($B$2="Apprenticeship","-",IF(SUMIF(Grades!$A:$A,$B$2,Grades!$BQ:$BQ)=0,"-",IF(AND(VLOOKUP($B$2,Grades!$A:$BW,75,FALSE)="YES",B156&gt;Thresholds_Rates!$C$17),"-",$C156*Thresholds_Rates!$F$17))))</f>
        <v/>
      </c>
      <c r="I156" s="81"/>
      <c r="J156" s="81" t="str">
        <f ca="1">IF(B156="","",(C156*Thresholds_Rates!$C$12))</f>
        <v/>
      </c>
      <c r="K156" s="81"/>
      <c r="L156" s="68"/>
      <c r="M156" s="81" t="str">
        <f t="shared" ca="1" si="13"/>
        <v/>
      </c>
      <c r="N156" s="81" t="str">
        <f t="shared" ca="1" si="14"/>
        <v/>
      </c>
      <c r="O156" s="81" t="str">
        <f t="shared" ca="1" si="15"/>
        <v/>
      </c>
      <c r="P156" s="81" t="str">
        <f t="shared" ca="1" si="16"/>
        <v/>
      </c>
      <c r="Q156" s="81" t="str">
        <f t="shared" ca="1" si="17"/>
        <v/>
      </c>
      <c r="S156" s="83"/>
      <c r="T156" s="84"/>
      <c r="U156" s="83"/>
      <c r="V156" s="84"/>
    </row>
    <row r="157" spans="2:22" x14ac:dyDescent="0.25">
      <c r="B157" s="68" t="str">
        <f ca="1">IFERROR(INDEX('Points Lookup'!$A:$A,MATCH($AA159,'Points Lookup'!$AN:$AN,0)),"")</f>
        <v/>
      </c>
      <c r="C157" s="81" t="str">
        <f ca="1">IF(B157="","",SUMIF(INDIRECT("'Points Lookup'!"&amp;VLOOKUP($B$2,Grades!A:BU,72,FALSE)&amp;":"&amp;VLOOKUP($B$2,Grades!A:BU,72,FALSE)),B157,INDIRECT("'Points Lookup'!"&amp;VLOOKUP($B$2,Grades!A:BU,73,FALSE)&amp;":"&amp;VLOOKUP($B$2,Grades!A:BU,73,FALSE))))</f>
        <v/>
      </c>
      <c r="D157" s="81"/>
      <c r="E157" s="81"/>
      <c r="F157" s="81" t="str">
        <f ca="1">IF($B157="","",IF(SUMIF(Grades!$A:$A,$B$2,Grades!$BO:$BO)=0,"-",IF(AND(VLOOKUP($B$2,Grades!$A:$BV,74,FALSE)="YES",B157&lt;Thresholds_Rates!$C$16),"-",$C157*Thresholds_Rates!$F$15)))</f>
        <v/>
      </c>
      <c r="G157" s="81" t="str">
        <f ca="1">IF(B157="","",IF(OR($B$2="Salary Points 3 to 57",$B$2="Salary Points 3 to 57 (post-pay award)"),"-",IF(SUMIF(Grades!$A:$A,$B$2,Grades!$BP:$BP)=0,"-",$C157*Thresholds_Rates!$F$16)))</f>
        <v/>
      </c>
      <c r="H157" s="81" t="str">
        <f ca="1">IF(B157="","",IF($B$2="Apprenticeship","-",IF(SUMIF(Grades!$A:$A,$B$2,Grades!$BQ:$BQ)=0,"-",IF(AND(VLOOKUP($B$2,Grades!$A:$BW,75,FALSE)="YES",B157&gt;Thresholds_Rates!$C$17),"-",$C157*Thresholds_Rates!$F$17))))</f>
        <v/>
      </c>
      <c r="I157" s="81"/>
      <c r="J157" s="81" t="str">
        <f ca="1">IF(B157="","",(C157*Thresholds_Rates!$C$12))</f>
        <v/>
      </c>
      <c r="K157" s="81"/>
      <c r="L157" s="68"/>
      <c r="M157" s="81" t="str">
        <f t="shared" ca="1" si="13"/>
        <v/>
      </c>
      <c r="N157" s="81" t="str">
        <f t="shared" ca="1" si="14"/>
        <v/>
      </c>
      <c r="O157" s="81" t="str">
        <f t="shared" ca="1" si="15"/>
        <v/>
      </c>
      <c r="P157" s="81" t="str">
        <f t="shared" ca="1" si="16"/>
        <v/>
      </c>
      <c r="Q157" s="81" t="str">
        <f t="shared" ca="1" si="17"/>
        <v/>
      </c>
      <c r="S157" s="83"/>
      <c r="T157" s="84"/>
      <c r="U157" s="83"/>
      <c r="V157" s="84"/>
    </row>
    <row r="158" spans="2:22" x14ac:dyDescent="0.25">
      <c r="B158" s="68" t="str">
        <f ca="1">IFERROR(INDEX('Points Lookup'!$A:$A,MATCH($AA160,'Points Lookup'!$AN:$AN,0)),"")</f>
        <v/>
      </c>
      <c r="C158" s="81" t="str">
        <f ca="1">IF(B158="","",SUMIF(INDIRECT("'Points Lookup'!"&amp;VLOOKUP($B$2,Grades!A:BU,72,FALSE)&amp;":"&amp;VLOOKUP($B$2,Grades!A:BU,72,FALSE)),B158,INDIRECT("'Points Lookup'!"&amp;VLOOKUP($B$2,Grades!A:BU,73,FALSE)&amp;":"&amp;VLOOKUP($B$2,Grades!A:BU,73,FALSE))))</f>
        <v/>
      </c>
      <c r="D158" s="81"/>
      <c r="E158" s="81"/>
      <c r="F158" s="81" t="str">
        <f ca="1">IF($B158="","",IF(SUMIF(Grades!$A:$A,$B$2,Grades!$BO:$BO)=0,"-",IF(AND(VLOOKUP($B$2,Grades!$A:$BV,74,FALSE)="YES",B158&lt;Thresholds_Rates!$C$16),"-",$C158*Thresholds_Rates!$F$15)))</f>
        <v/>
      </c>
      <c r="G158" s="81" t="str">
        <f ca="1">IF(B158="","",IF(OR($B$2="Salary Points 3 to 57",$B$2="Salary Points 3 to 57 (post-pay award)"),"-",IF(SUMIF(Grades!$A:$A,$B$2,Grades!$BP:$BP)=0,"-",$C158*Thresholds_Rates!$F$16)))</f>
        <v/>
      </c>
      <c r="H158" s="81" t="str">
        <f ca="1">IF(B158="","",IF($B$2="Apprenticeship","-",IF(SUMIF(Grades!$A:$A,$B$2,Grades!$BQ:$BQ)=0,"-",IF(AND(VLOOKUP($B$2,Grades!$A:$BW,75,FALSE)="YES",B158&gt;Thresholds_Rates!$C$17),"-",$C158*Thresholds_Rates!$F$17))))</f>
        <v/>
      </c>
      <c r="I158" s="81"/>
      <c r="J158" s="81" t="str">
        <f ca="1">IF(B158="","",(C158*Thresholds_Rates!$C$12))</f>
        <v/>
      </c>
      <c r="K158" s="81"/>
      <c r="L158" s="68"/>
      <c r="M158" s="81" t="str">
        <f t="shared" ca="1" si="13"/>
        <v/>
      </c>
      <c r="N158" s="81" t="str">
        <f t="shared" ca="1" si="14"/>
        <v/>
      </c>
      <c r="O158" s="81" t="str">
        <f t="shared" ca="1" si="15"/>
        <v/>
      </c>
      <c r="P158" s="81" t="str">
        <f t="shared" ca="1" si="16"/>
        <v/>
      </c>
      <c r="Q158" s="81" t="str">
        <f t="shared" ca="1" si="17"/>
        <v/>
      </c>
      <c r="S158" s="83"/>
      <c r="T158" s="84"/>
      <c r="U158" s="83"/>
      <c r="V158" s="84"/>
    </row>
    <row r="159" spans="2:22" x14ac:dyDescent="0.25">
      <c r="B159" s="68" t="str">
        <f ca="1">IFERROR(INDEX('Points Lookup'!$A:$A,MATCH($AA161,'Points Lookup'!$AN:$AN,0)),"")</f>
        <v/>
      </c>
      <c r="C159" s="81" t="str">
        <f ca="1">IF(B159="","",SUMIF(INDIRECT("'Points Lookup'!"&amp;VLOOKUP($B$2,Grades!A:BU,72,FALSE)&amp;":"&amp;VLOOKUP($B$2,Grades!A:BU,72,FALSE)),B159,INDIRECT("'Points Lookup'!"&amp;VLOOKUP($B$2,Grades!A:BU,73,FALSE)&amp;":"&amp;VLOOKUP($B$2,Grades!A:BU,73,FALSE))))</f>
        <v/>
      </c>
      <c r="D159" s="81"/>
      <c r="E159" s="81"/>
      <c r="F159" s="81" t="str">
        <f ca="1">IF($B159="","",IF(SUMIF(Grades!$A:$A,$B$2,Grades!$BO:$BO)=0,"-",IF(AND(VLOOKUP($B$2,Grades!$A:$BV,74,FALSE)="YES",B159&lt;Thresholds_Rates!$C$16),"-",$C159*Thresholds_Rates!$F$15)))</f>
        <v/>
      </c>
      <c r="G159" s="81" t="str">
        <f ca="1">IF(B159="","",IF(OR($B$2="Salary Points 3 to 57",$B$2="Salary Points 3 to 57 (post-pay award)"),"-",IF(SUMIF(Grades!$A:$A,$B$2,Grades!$BP:$BP)=0,"-",$C159*Thresholds_Rates!$F$16)))</f>
        <v/>
      </c>
      <c r="H159" s="81" t="str">
        <f ca="1">IF(B159="","",IF($B$2="Apprenticeship","-",IF(SUMIF(Grades!$A:$A,$B$2,Grades!$BQ:$BQ)=0,"-",IF(AND(VLOOKUP($B$2,Grades!$A:$BW,75,FALSE)="YES",B159&gt;Thresholds_Rates!$C$17),"-",$C159*Thresholds_Rates!$F$17))))</f>
        <v/>
      </c>
      <c r="I159" s="81"/>
      <c r="J159" s="81" t="str">
        <f ca="1">IF(B159="","",(C159*Thresholds_Rates!$C$12))</f>
        <v/>
      </c>
      <c r="K159" s="81"/>
      <c r="L159" s="68"/>
      <c r="M159" s="81" t="str">
        <f t="shared" ca="1" si="13"/>
        <v/>
      </c>
      <c r="N159" s="81" t="str">
        <f t="shared" ca="1" si="14"/>
        <v/>
      </c>
      <c r="O159" s="81" t="str">
        <f t="shared" ca="1" si="15"/>
        <v/>
      </c>
      <c r="P159" s="81" t="str">
        <f t="shared" ca="1" si="16"/>
        <v/>
      </c>
      <c r="Q159" s="81" t="str">
        <f t="shared" ca="1" si="17"/>
        <v/>
      </c>
      <c r="S159" s="83"/>
      <c r="T159" s="84"/>
      <c r="U159" s="83"/>
      <c r="V159" s="84"/>
    </row>
    <row r="160" spans="2:22" x14ac:dyDescent="0.25">
      <c r="B160" s="68" t="str">
        <f ca="1">IFERROR(INDEX('Points Lookup'!$A:$A,MATCH($AA162,'Points Lookup'!$AN:$AN,0)),"")</f>
        <v/>
      </c>
      <c r="C160" s="81" t="str">
        <f ca="1">IF(B160="","",SUMIF(INDIRECT("'Points Lookup'!"&amp;VLOOKUP($B$2,Grades!A:BU,72,FALSE)&amp;":"&amp;VLOOKUP($B$2,Grades!A:BU,72,FALSE)),B160,INDIRECT("'Points Lookup'!"&amp;VLOOKUP($B$2,Grades!A:BU,73,FALSE)&amp;":"&amp;VLOOKUP($B$2,Grades!A:BU,73,FALSE))))</f>
        <v/>
      </c>
      <c r="D160" s="81"/>
      <c r="E160" s="81"/>
      <c r="F160" s="81" t="str">
        <f ca="1">IF($B160="","",IF(SUMIF(Grades!$A:$A,$B$2,Grades!$BO:$BO)=0,"-",IF(AND(VLOOKUP($B$2,Grades!$A:$BV,74,FALSE)="YES",B160&lt;Thresholds_Rates!$C$16),"-",$C160*Thresholds_Rates!$F$15)))</f>
        <v/>
      </c>
      <c r="G160" s="81" t="str">
        <f ca="1">IF(B160="","",IF(OR($B$2="Salary Points 3 to 57",$B$2="Salary Points 3 to 57 (post-pay award)"),"-",IF(SUMIF(Grades!$A:$A,$B$2,Grades!$BP:$BP)=0,"-",$C160*Thresholds_Rates!$F$16)))</f>
        <v/>
      </c>
      <c r="H160" s="81" t="str">
        <f ca="1">IF(B160="","",IF($B$2="Apprenticeship","-",IF(SUMIF(Grades!$A:$A,$B$2,Grades!$BQ:$BQ)=0,"-",IF(AND(VLOOKUP($B$2,Grades!$A:$BW,75,FALSE)="YES",B160&gt;Thresholds_Rates!$C$17),"-",$C160*Thresholds_Rates!$F$17))))</f>
        <v/>
      </c>
      <c r="I160" s="81"/>
      <c r="J160" s="81" t="str">
        <f ca="1">IF(B160="","",(C160*Thresholds_Rates!$C$12))</f>
        <v/>
      </c>
      <c r="K160" s="81"/>
      <c r="L160" s="68"/>
      <c r="M160" s="81" t="str">
        <f t="shared" ca="1" si="13"/>
        <v/>
      </c>
      <c r="N160" s="81" t="str">
        <f t="shared" ca="1" si="14"/>
        <v/>
      </c>
      <c r="O160" s="81" t="str">
        <f t="shared" ca="1" si="15"/>
        <v/>
      </c>
      <c r="P160" s="81" t="str">
        <f t="shared" ca="1" si="16"/>
        <v/>
      </c>
      <c r="Q160" s="81" t="str">
        <f t="shared" ca="1" si="17"/>
        <v/>
      </c>
      <c r="S160" s="83"/>
      <c r="T160" s="84"/>
      <c r="U160" s="83"/>
      <c r="V160" s="84"/>
    </row>
    <row r="161" spans="2:22" x14ac:dyDescent="0.25">
      <c r="B161" s="68" t="str">
        <f ca="1">IFERROR(INDEX('Points Lookup'!$A:$A,MATCH($AA163,'Points Lookup'!$AN:$AN,0)),"")</f>
        <v/>
      </c>
      <c r="C161" s="81" t="str">
        <f ca="1">IF(B161="","",SUMIF(INDIRECT("'Points Lookup'!"&amp;VLOOKUP($B$2,Grades!A:BU,72,FALSE)&amp;":"&amp;VLOOKUP($B$2,Grades!A:BU,72,FALSE)),B161,INDIRECT("'Points Lookup'!"&amp;VLOOKUP($B$2,Grades!A:BU,73,FALSE)&amp;":"&amp;VLOOKUP($B$2,Grades!A:BU,73,FALSE))))</f>
        <v/>
      </c>
      <c r="D161" s="81"/>
      <c r="E161" s="81"/>
      <c r="F161" s="81" t="str">
        <f ca="1">IF($B161="","",IF(SUMIF(Grades!$A:$A,$B$2,Grades!$BO:$BO)=0,"-",IF(AND(VLOOKUP($B$2,Grades!$A:$BV,74,FALSE)="YES",B161&lt;Thresholds_Rates!$C$16),"-",$C161*Thresholds_Rates!$F$15)))</f>
        <v/>
      </c>
      <c r="G161" s="81" t="str">
        <f ca="1">IF(B161="","",IF(OR($B$2="Salary Points 3 to 57",$B$2="Salary Points 3 to 57 (post-pay award)"),"-",IF(SUMIF(Grades!$A:$A,$B$2,Grades!$BP:$BP)=0,"-",$C161*Thresholds_Rates!$F$16)))</f>
        <v/>
      </c>
      <c r="H161" s="81" t="str">
        <f ca="1">IF(B161="","",IF($B$2="Apprenticeship","-",IF(SUMIF(Grades!$A:$A,$B$2,Grades!$BQ:$BQ)=0,"-",IF(AND(VLOOKUP($B$2,Grades!$A:$BW,75,FALSE)="YES",B161&gt;Thresholds_Rates!$C$17),"-",$C161*Thresholds_Rates!$F$17))))</f>
        <v/>
      </c>
      <c r="I161" s="81"/>
      <c r="J161" s="81" t="str">
        <f ca="1">IF(B161="","",(C161*Thresholds_Rates!$C$12))</f>
        <v/>
      </c>
      <c r="K161" s="81"/>
      <c r="L161" s="68"/>
      <c r="M161" s="81" t="str">
        <f t="shared" ca="1" si="13"/>
        <v/>
      </c>
      <c r="N161" s="81" t="str">
        <f t="shared" ca="1" si="14"/>
        <v/>
      </c>
      <c r="O161" s="81" t="str">
        <f t="shared" ca="1" si="15"/>
        <v/>
      </c>
      <c r="P161" s="81" t="str">
        <f t="shared" ca="1" si="16"/>
        <v/>
      </c>
      <c r="Q161" s="81" t="str">
        <f t="shared" ca="1" si="17"/>
        <v/>
      </c>
      <c r="S161" s="83"/>
      <c r="T161" s="84"/>
      <c r="U161" s="83"/>
      <c r="V161" s="84"/>
    </row>
    <row r="162" spans="2:22" x14ac:dyDescent="0.25">
      <c r="B162" s="68" t="str">
        <f ca="1">IFERROR(INDEX('Points Lookup'!$A:$A,MATCH($AA164,'Points Lookup'!$AN:$AN,0)),"")</f>
        <v/>
      </c>
      <c r="C162" s="81" t="str">
        <f ca="1">IF(B162="","",SUMIF(INDIRECT("'Points Lookup'!"&amp;VLOOKUP($B$2,Grades!A:BU,72,FALSE)&amp;":"&amp;VLOOKUP($B$2,Grades!A:BU,72,FALSE)),B162,INDIRECT("'Points Lookup'!"&amp;VLOOKUP($B$2,Grades!A:BU,73,FALSE)&amp;":"&amp;VLOOKUP($B$2,Grades!A:BU,73,FALSE))))</f>
        <v/>
      </c>
      <c r="D162" s="81"/>
      <c r="E162" s="81"/>
      <c r="F162" s="81" t="str">
        <f ca="1">IF($B162="","",IF(SUMIF(Grades!$A:$A,$B$2,Grades!$BO:$BO)=0,"-",IF(AND(VLOOKUP($B$2,Grades!$A:$BV,74,FALSE)="YES",B162&lt;Thresholds_Rates!$C$16),"-",$C162*Thresholds_Rates!$F$15)))</f>
        <v/>
      </c>
      <c r="G162" s="81" t="str">
        <f ca="1">IF(B162="","",IF(OR($B$2="Salary Points 3 to 57",$B$2="Salary Points 3 to 57 (post-pay award)"),"-",IF(SUMIF(Grades!$A:$A,$B$2,Grades!$BP:$BP)=0,"-",$C162*Thresholds_Rates!$F$16)))</f>
        <v/>
      </c>
      <c r="H162" s="81" t="str">
        <f ca="1">IF(B162="","",IF($B$2="Apprenticeship","-",IF(SUMIF(Grades!$A:$A,$B$2,Grades!$BQ:$BQ)=0,"-",IF(AND(VLOOKUP($B$2,Grades!$A:$BW,75,FALSE)="YES",B162&gt;Thresholds_Rates!$C$17),"-",$C162*Thresholds_Rates!$F$17))))</f>
        <v/>
      </c>
      <c r="I162" s="81"/>
      <c r="J162" s="81" t="str">
        <f ca="1">IF(B162="","",(C162*Thresholds_Rates!$C$12))</f>
        <v/>
      </c>
      <c r="K162" s="81"/>
      <c r="L162" s="68"/>
      <c r="M162" s="81" t="str">
        <f t="shared" ca="1" si="13"/>
        <v/>
      </c>
      <c r="N162" s="81" t="str">
        <f t="shared" ca="1" si="14"/>
        <v/>
      </c>
      <c r="O162" s="81" t="str">
        <f t="shared" ca="1" si="15"/>
        <v/>
      </c>
      <c r="P162" s="81" t="str">
        <f t="shared" ca="1" si="16"/>
        <v/>
      </c>
      <c r="Q162" s="81" t="str">
        <f t="shared" ca="1" si="17"/>
        <v/>
      </c>
      <c r="S162" s="83"/>
      <c r="T162" s="84"/>
      <c r="U162" s="83"/>
      <c r="V162" s="84"/>
    </row>
    <row r="163" spans="2:22" x14ac:dyDescent="0.25">
      <c r="B163" s="68" t="str">
        <f ca="1">IFERROR(INDEX('Points Lookup'!$A:$A,MATCH($AA165,'Points Lookup'!$AN:$AN,0)),"")</f>
        <v/>
      </c>
      <c r="C163" s="81" t="str">
        <f ca="1">IF(B163="","",SUMIF(INDIRECT("'Points Lookup'!"&amp;VLOOKUP($B$2,Grades!A:BU,72,FALSE)&amp;":"&amp;VLOOKUP($B$2,Grades!A:BU,72,FALSE)),B163,INDIRECT("'Points Lookup'!"&amp;VLOOKUP($B$2,Grades!A:BU,73,FALSE)&amp;":"&amp;VLOOKUP($B$2,Grades!A:BU,73,FALSE))))</f>
        <v/>
      </c>
      <c r="D163" s="81"/>
      <c r="E163" s="81"/>
      <c r="F163" s="81" t="str">
        <f ca="1">IF($B163="","",IF(SUMIF(Grades!$A:$A,$B$2,Grades!$BO:$BO)=0,"-",IF(AND(VLOOKUP($B$2,Grades!$A:$BV,74,FALSE)="YES",B163&lt;Thresholds_Rates!$C$16),"-",$C163*Thresholds_Rates!$F$15)))</f>
        <v/>
      </c>
      <c r="G163" s="81" t="str">
        <f ca="1">IF(B163="","",IF(OR($B$2="Salary Points 3 to 57",$B$2="Salary Points 3 to 57 (post-pay award)"),"-",IF(SUMIF(Grades!$A:$A,$B$2,Grades!$BP:$BP)=0,"-",$C163*Thresholds_Rates!$F$16)))</f>
        <v/>
      </c>
      <c r="H163" s="81" t="str">
        <f ca="1">IF(B163="","",IF($B$2="Apprenticeship","-",IF(SUMIF(Grades!$A:$A,$B$2,Grades!$BQ:$BQ)=0,"-",IF(AND(VLOOKUP($B$2,Grades!$A:$BW,75,FALSE)="YES",B163&gt;Thresholds_Rates!$C$17),"-",$C163*Thresholds_Rates!$F$17))))</f>
        <v/>
      </c>
      <c r="I163" s="81"/>
      <c r="J163" s="81" t="str">
        <f ca="1">IF(B163="","",(C163*Thresholds_Rates!$C$12))</f>
        <v/>
      </c>
      <c r="K163" s="81"/>
      <c r="L163" s="68"/>
      <c r="M163" s="81" t="str">
        <f t="shared" ca="1" si="13"/>
        <v/>
      </c>
      <c r="N163" s="81" t="str">
        <f t="shared" ca="1" si="14"/>
        <v/>
      </c>
      <c r="O163" s="81" t="str">
        <f t="shared" ca="1" si="15"/>
        <v/>
      </c>
      <c r="P163" s="81" t="str">
        <f t="shared" ca="1" si="16"/>
        <v/>
      </c>
      <c r="Q163" s="81" t="str">
        <f t="shared" ca="1" si="17"/>
        <v/>
      </c>
      <c r="S163" s="83"/>
      <c r="T163" s="84"/>
      <c r="U163" s="83"/>
      <c r="V163" s="84"/>
    </row>
    <row r="164" spans="2:22" x14ac:dyDescent="0.25">
      <c r="B164" s="68" t="str">
        <f ca="1">IFERROR(INDEX('Points Lookup'!$A:$A,MATCH($AA166,'Points Lookup'!$AN:$AN,0)),"")</f>
        <v/>
      </c>
      <c r="C164" s="81" t="str">
        <f ca="1">IF(B164="","",SUMIF(INDIRECT("'Points Lookup'!"&amp;VLOOKUP($B$2,Grades!A:BU,72,FALSE)&amp;":"&amp;VLOOKUP($B$2,Grades!A:BU,72,FALSE)),B164,INDIRECT("'Points Lookup'!"&amp;VLOOKUP($B$2,Grades!A:BU,73,FALSE)&amp;":"&amp;VLOOKUP($B$2,Grades!A:BU,73,FALSE))))</f>
        <v/>
      </c>
      <c r="D164" s="81"/>
      <c r="E164" s="81"/>
      <c r="F164" s="81" t="str">
        <f ca="1">IF($B164="","",IF(SUMIF(Grades!$A:$A,$B$2,Grades!$BO:$BO)=0,"-",IF(AND(VLOOKUP($B$2,Grades!$A:$BV,74,FALSE)="YES",B164&lt;Thresholds_Rates!$C$16),"-",$C164*Thresholds_Rates!$F$15)))</f>
        <v/>
      </c>
      <c r="G164" s="81" t="str">
        <f ca="1">IF(B164="","",IF(OR($B$2="Salary Points 3 to 57",$B$2="Salary Points 3 to 57 (post-pay award)"),"-",IF(SUMIF(Grades!$A:$A,$B$2,Grades!$BP:$BP)=0,"-",$C164*Thresholds_Rates!$F$16)))</f>
        <v/>
      </c>
      <c r="H164" s="81" t="str">
        <f ca="1">IF(B164="","",IF($B$2="Apprenticeship","-",IF(SUMIF(Grades!$A:$A,$B$2,Grades!$BQ:$BQ)=0,"-",IF(AND(VLOOKUP($B$2,Grades!$A:$BW,75,FALSE)="YES",B164&gt;Thresholds_Rates!$C$17),"-",$C164*Thresholds_Rates!$F$17))))</f>
        <v/>
      </c>
      <c r="I164" s="81"/>
      <c r="J164" s="81" t="str">
        <f ca="1">IF(B164="","",(C164*Thresholds_Rates!$C$12))</f>
        <v/>
      </c>
      <c r="K164" s="81"/>
      <c r="L164" s="68"/>
      <c r="M164" s="81" t="str">
        <f t="shared" ca="1" si="13"/>
        <v/>
      </c>
      <c r="N164" s="81" t="str">
        <f t="shared" ca="1" si="14"/>
        <v/>
      </c>
      <c r="O164" s="81" t="str">
        <f t="shared" ca="1" si="15"/>
        <v/>
      </c>
      <c r="P164" s="81" t="str">
        <f t="shared" ca="1" si="16"/>
        <v/>
      </c>
      <c r="Q164" s="81" t="str">
        <f t="shared" ca="1" si="17"/>
        <v/>
      </c>
      <c r="S164" s="83"/>
      <c r="T164" s="84"/>
      <c r="U164" s="83"/>
      <c r="V164" s="84"/>
    </row>
    <row r="165" spans="2:22" x14ac:dyDescent="0.25">
      <c r="B165" s="68" t="str">
        <f ca="1">IFERROR(INDEX('Points Lookup'!$A:$A,MATCH($AA167,'Points Lookup'!$AN:$AN,0)),"")</f>
        <v/>
      </c>
      <c r="C165" s="81" t="str">
        <f ca="1">IF(B165="","",SUMIF(INDIRECT("'Points Lookup'!"&amp;VLOOKUP($B$2,Grades!A:BU,72,FALSE)&amp;":"&amp;VLOOKUP($B$2,Grades!A:BU,72,FALSE)),B165,INDIRECT("'Points Lookup'!"&amp;VLOOKUP($B$2,Grades!A:BU,73,FALSE)&amp;":"&amp;VLOOKUP($B$2,Grades!A:BU,73,FALSE))))</f>
        <v/>
      </c>
      <c r="D165" s="81"/>
      <c r="E165" s="81"/>
      <c r="F165" s="81" t="str">
        <f ca="1">IF($B165="","",IF(SUMIF(Grades!$A:$A,$B$2,Grades!$BO:$BO)=0,"-",IF(AND(VLOOKUP($B$2,Grades!$A:$BV,74,FALSE)="YES",B165&lt;Thresholds_Rates!$C$16),"-",$C165*Thresholds_Rates!$F$15)))</f>
        <v/>
      </c>
      <c r="G165" s="81" t="str">
        <f ca="1">IF(B165="","",IF(OR($B$2="Salary Points 3 to 57",$B$2="Salary Points 3 to 57 (post-pay award)"),"-",IF(SUMIF(Grades!$A:$A,$B$2,Grades!$BP:$BP)=0,"-",$C165*Thresholds_Rates!$F$16)))</f>
        <v/>
      </c>
      <c r="H165" s="81" t="str">
        <f ca="1">IF(B165="","",IF($B$2="Apprenticeship","-",IF(SUMIF(Grades!$A:$A,$B$2,Grades!$BQ:$BQ)=0,"-",IF(AND(VLOOKUP($B$2,Grades!$A:$BW,75,FALSE)="YES",B165&gt;Thresholds_Rates!$C$17),"-",$C165*Thresholds_Rates!$F$17))))</f>
        <v/>
      </c>
      <c r="I165" s="81"/>
      <c r="J165" s="81" t="str">
        <f ca="1">IF(B165="","",(C165*Thresholds_Rates!$C$12))</f>
        <v/>
      </c>
      <c r="K165" s="81"/>
      <c r="L165" s="68"/>
      <c r="M165" s="81" t="str">
        <f t="shared" ca="1" si="13"/>
        <v/>
      </c>
      <c r="N165" s="81" t="str">
        <f t="shared" ca="1" si="14"/>
        <v/>
      </c>
      <c r="O165" s="81" t="str">
        <f t="shared" ca="1" si="15"/>
        <v/>
      </c>
      <c r="P165" s="81" t="str">
        <f t="shared" ca="1" si="16"/>
        <v/>
      </c>
      <c r="Q165" s="81" t="str">
        <f t="shared" ca="1" si="17"/>
        <v/>
      </c>
      <c r="S165" s="83"/>
      <c r="T165" s="84"/>
      <c r="U165" s="83"/>
      <c r="V165" s="84"/>
    </row>
    <row r="166" spans="2:22" x14ac:dyDescent="0.25">
      <c r="B166" s="68" t="str">
        <f ca="1">IFERROR(INDEX('Points Lookup'!$A:$A,MATCH($AA168,'Points Lookup'!$AN:$AN,0)),"")</f>
        <v/>
      </c>
      <c r="C166" s="81" t="str">
        <f ca="1">IF(B166="","",SUMIF(INDIRECT("'Points Lookup'!"&amp;VLOOKUP($B$2,Grades!A:BU,72,FALSE)&amp;":"&amp;VLOOKUP($B$2,Grades!A:BU,72,FALSE)),B166,INDIRECT("'Points Lookup'!"&amp;VLOOKUP($B$2,Grades!A:BU,73,FALSE)&amp;":"&amp;VLOOKUP($B$2,Grades!A:BU,73,FALSE))))</f>
        <v/>
      </c>
      <c r="D166" s="81"/>
      <c r="E166" s="81"/>
      <c r="F166" s="81" t="str">
        <f ca="1">IF($B166="","",IF(SUMIF(Grades!$A:$A,$B$2,Grades!$BO:$BO)=0,"-",IF(AND(VLOOKUP($B$2,Grades!$A:$BV,74,FALSE)="YES",B166&lt;Thresholds_Rates!$C$16),"-",$C166*Thresholds_Rates!$F$15)))</f>
        <v/>
      </c>
      <c r="G166" s="81" t="str">
        <f ca="1">IF(B166="","",IF(OR($B$2="Salary Points 3 to 57",$B$2="Salary Points 3 to 57 (post-pay award)"),"-",IF(SUMIF(Grades!$A:$A,$B$2,Grades!$BP:$BP)=0,"-",$C166*Thresholds_Rates!$F$16)))</f>
        <v/>
      </c>
      <c r="H166" s="81" t="str">
        <f ca="1">IF(B166="","",IF($B$2="Apprenticeship","-",IF(SUMIF(Grades!$A:$A,$B$2,Grades!$BQ:$BQ)=0,"-",IF(AND(VLOOKUP($B$2,Grades!$A:$BW,75,FALSE)="YES",B166&gt;Thresholds_Rates!$C$17),"-",$C166*Thresholds_Rates!$F$17))))</f>
        <v/>
      </c>
      <c r="I166" s="81"/>
      <c r="J166" s="81" t="str">
        <f ca="1">IF(B166="","",(C166*Thresholds_Rates!$C$12))</f>
        <v/>
      </c>
      <c r="K166" s="81"/>
      <c r="L166" s="68"/>
      <c r="M166" s="81" t="str">
        <f t="shared" ca="1" si="13"/>
        <v/>
      </c>
      <c r="N166" s="81" t="str">
        <f t="shared" ca="1" si="14"/>
        <v/>
      </c>
      <c r="O166" s="81" t="str">
        <f t="shared" ca="1" si="15"/>
        <v/>
      </c>
      <c r="P166" s="81" t="str">
        <f t="shared" ca="1" si="16"/>
        <v/>
      </c>
      <c r="Q166" s="81" t="str">
        <f t="shared" ca="1" si="17"/>
        <v/>
      </c>
      <c r="S166" s="83"/>
      <c r="T166" s="84"/>
      <c r="U166" s="83"/>
      <c r="V166" s="84"/>
    </row>
    <row r="167" spans="2:22" x14ac:dyDescent="0.25">
      <c r="B167" s="68" t="str">
        <f ca="1">IFERROR(INDEX('Points Lookup'!$A:$A,MATCH($AA169,'Points Lookup'!$AN:$AN,0)),"")</f>
        <v/>
      </c>
      <c r="C167" s="81" t="str">
        <f ca="1">IF(B167="","",SUMIF(INDIRECT("'Points Lookup'!"&amp;VLOOKUP($B$2,Grades!A:BU,72,FALSE)&amp;":"&amp;VLOOKUP($B$2,Grades!A:BU,72,FALSE)),B167,INDIRECT("'Points Lookup'!"&amp;VLOOKUP($B$2,Grades!A:BU,73,FALSE)&amp;":"&amp;VLOOKUP($B$2,Grades!A:BU,73,FALSE))))</f>
        <v/>
      </c>
      <c r="D167" s="81"/>
      <c r="E167" s="81"/>
      <c r="F167" s="81" t="str">
        <f ca="1">IF($B167="","",IF(SUMIF(Grades!$A:$A,$B$2,Grades!$BO:$BO)=0,"-",IF(AND(VLOOKUP($B$2,Grades!$A:$BV,74,FALSE)="YES",B167&lt;Thresholds_Rates!$C$16),"-",$C167*Thresholds_Rates!$F$15)))</f>
        <v/>
      </c>
      <c r="G167" s="81" t="str">
        <f ca="1">IF(B167="","",IF(OR($B$2="Salary Points 3 to 57",$B$2="Salary Points 3 to 57 (post-pay award)"),"-",IF(SUMIF(Grades!$A:$A,$B$2,Grades!$BP:$BP)=0,"-",$C167*Thresholds_Rates!$F$16)))</f>
        <v/>
      </c>
      <c r="H167" s="81" t="str">
        <f ca="1">IF(B167="","",IF($B$2="Apprenticeship","-",IF(SUMIF(Grades!$A:$A,$B$2,Grades!$BQ:$BQ)=0,"-",IF(AND(VLOOKUP($B$2,Grades!$A:$BW,75,FALSE)="YES",B167&gt;Thresholds_Rates!$C$17),"-",$C167*Thresholds_Rates!$F$17))))</f>
        <v/>
      </c>
      <c r="I167" s="81"/>
      <c r="J167" s="81" t="str">
        <f ca="1">IF(B167="","",(C167*Thresholds_Rates!$C$12))</f>
        <v/>
      </c>
      <c r="K167" s="81"/>
      <c r="L167" s="68"/>
      <c r="M167" s="81" t="str">
        <f t="shared" ca="1" si="13"/>
        <v/>
      </c>
      <c r="N167" s="81" t="str">
        <f t="shared" ca="1" si="14"/>
        <v/>
      </c>
      <c r="O167" s="81" t="str">
        <f t="shared" ca="1" si="15"/>
        <v/>
      </c>
      <c r="P167" s="81" t="str">
        <f t="shared" ca="1" si="16"/>
        <v/>
      </c>
      <c r="Q167" s="81" t="str">
        <f t="shared" ca="1" si="17"/>
        <v/>
      </c>
      <c r="S167" s="83"/>
      <c r="T167" s="84"/>
      <c r="U167" s="83"/>
      <c r="V167" s="84"/>
    </row>
    <row r="168" spans="2:22" x14ac:dyDescent="0.25">
      <c r="B168" s="68" t="str">
        <f ca="1">IFERROR(INDEX('Points Lookup'!$A:$A,MATCH($AA170,'Points Lookup'!$AN:$AN,0)),"")</f>
        <v/>
      </c>
      <c r="C168" s="81" t="str">
        <f ca="1">IF(B168="","",SUMIF(INDIRECT("'Points Lookup'!"&amp;VLOOKUP($B$2,Grades!A:BU,72,FALSE)&amp;":"&amp;VLOOKUP($B$2,Grades!A:BU,72,FALSE)),B168,INDIRECT("'Points Lookup'!"&amp;VLOOKUP($B$2,Grades!A:BU,73,FALSE)&amp;":"&amp;VLOOKUP($B$2,Grades!A:BU,73,FALSE))))</f>
        <v/>
      </c>
      <c r="D168" s="81"/>
      <c r="E168" s="81"/>
      <c r="F168" s="81" t="str">
        <f ca="1">IF($B168="","",IF(SUMIF(Grades!$A:$A,$B$2,Grades!$BO:$BO)=0,"-",IF(AND(VLOOKUP($B$2,Grades!$A:$BV,74,FALSE)="YES",B168&lt;Thresholds_Rates!$C$16),"-",$C168*Thresholds_Rates!$F$15)))</f>
        <v/>
      </c>
      <c r="G168" s="81" t="str">
        <f ca="1">IF(B168="","",IF(OR($B$2="Salary Points 3 to 57",$B$2="Salary Points 3 to 57 (post-pay award)"),"-",IF(SUMIF(Grades!$A:$A,$B$2,Grades!$BP:$BP)=0,"-",$C168*Thresholds_Rates!$F$16)))</f>
        <v/>
      </c>
      <c r="H168" s="81" t="str">
        <f ca="1">IF(B168="","",IF($B$2="Apprenticeship","-",IF(SUMIF(Grades!$A:$A,$B$2,Grades!$BQ:$BQ)=0,"-",IF(AND(VLOOKUP($B$2,Grades!$A:$BW,75,FALSE)="YES",B168&gt;Thresholds_Rates!$C$17),"-",$C168*Thresholds_Rates!$F$17))))</f>
        <v/>
      </c>
      <c r="I168" s="81"/>
      <c r="J168" s="81" t="str">
        <f ca="1">IF(B168="","",(C168*Thresholds_Rates!$C$12))</f>
        <v/>
      </c>
      <c r="K168" s="81"/>
      <c r="L168" s="68"/>
      <c r="M168" s="81" t="str">
        <f t="shared" ca="1" si="13"/>
        <v/>
      </c>
      <c r="N168" s="81" t="str">
        <f t="shared" ca="1" si="14"/>
        <v/>
      </c>
      <c r="O168" s="81" t="str">
        <f t="shared" ca="1" si="15"/>
        <v/>
      </c>
      <c r="P168" s="81" t="str">
        <f t="shared" ca="1" si="16"/>
        <v/>
      </c>
      <c r="Q168" s="81" t="str">
        <f t="shared" ca="1" si="17"/>
        <v/>
      </c>
      <c r="S168" s="83"/>
      <c r="T168" s="84"/>
      <c r="U168" s="83"/>
      <c r="V168" s="84"/>
    </row>
    <row r="169" spans="2:22" x14ac:dyDescent="0.25">
      <c r="B169" s="68" t="str">
        <f ca="1">IFERROR(INDEX('Points Lookup'!$A:$A,MATCH($AA171,'Points Lookup'!$AN:$AN,0)),"")</f>
        <v/>
      </c>
      <c r="C169" s="81" t="str">
        <f ca="1">IF(B169="","",SUMIF(INDIRECT("'Points Lookup'!"&amp;VLOOKUP($B$2,Grades!A:BU,72,FALSE)&amp;":"&amp;VLOOKUP($B$2,Grades!A:BU,72,FALSE)),B169,INDIRECT("'Points Lookup'!"&amp;VLOOKUP($B$2,Grades!A:BU,73,FALSE)&amp;":"&amp;VLOOKUP($B$2,Grades!A:BU,73,FALSE))))</f>
        <v/>
      </c>
      <c r="D169" s="81"/>
      <c r="E169" s="81"/>
      <c r="F169" s="81" t="str">
        <f ca="1">IF($B169="","",IF(SUMIF(Grades!$A:$A,$B$2,Grades!$BO:$BO)=0,"-",IF(AND(VLOOKUP($B$2,Grades!$A:$BV,74,FALSE)="YES",B169&lt;Thresholds_Rates!$C$16),"-",$C169*Thresholds_Rates!$F$15)))</f>
        <v/>
      </c>
      <c r="G169" s="81" t="str">
        <f ca="1">IF(B169="","",IF(OR($B$2="Salary Points 3 to 57",$B$2="Salary Points 3 to 57 (post-pay award)"),"-",IF(SUMIF(Grades!$A:$A,$B$2,Grades!$BP:$BP)=0,"-",$C169*Thresholds_Rates!$F$16)))</f>
        <v/>
      </c>
      <c r="H169" s="81" t="str">
        <f ca="1">IF(B169="","",IF($B$2="Apprenticeship","-",IF(SUMIF(Grades!$A:$A,$B$2,Grades!$BQ:$BQ)=0,"-",IF(AND(VLOOKUP($B$2,Grades!$A:$BW,75,FALSE)="YES",B169&gt;Thresholds_Rates!$C$17),"-",$C169*Thresholds_Rates!$F$17))))</f>
        <v/>
      </c>
      <c r="I169" s="81"/>
      <c r="J169" s="81" t="str">
        <f ca="1">IF(B169="","",(C169*Thresholds_Rates!$C$12))</f>
        <v/>
      </c>
      <c r="K169" s="81"/>
      <c r="L169" s="68"/>
      <c r="M169" s="81" t="str">
        <f t="shared" ca="1" si="13"/>
        <v/>
      </c>
      <c r="N169" s="81" t="str">
        <f t="shared" ca="1" si="14"/>
        <v/>
      </c>
      <c r="O169" s="81" t="str">
        <f t="shared" ca="1" si="15"/>
        <v/>
      </c>
      <c r="P169" s="81" t="str">
        <f t="shared" ca="1" si="16"/>
        <v/>
      </c>
      <c r="Q169" s="81" t="str">
        <f t="shared" ca="1" si="17"/>
        <v/>
      </c>
      <c r="S169" s="83"/>
      <c r="T169" s="84"/>
      <c r="U169" s="83"/>
      <c r="V169" s="84"/>
    </row>
    <row r="170" spans="2:22" x14ac:dyDescent="0.25">
      <c r="B170" s="68" t="str">
        <f ca="1">IFERROR(INDEX('Points Lookup'!$A:$A,MATCH($AA172,'Points Lookup'!$AN:$AN,0)),"")</f>
        <v/>
      </c>
      <c r="C170" s="81" t="str">
        <f ca="1">IF(B170="","",SUMIF(INDIRECT("'Points Lookup'!"&amp;VLOOKUP($B$2,Grades!A:BU,72,FALSE)&amp;":"&amp;VLOOKUP($B$2,Grades!A:BU,72,FALSE)),B170,INDIRECT("'Points Lookup'!"&amp;VLOOKUP($B$2,Grades!A:BU,73,FALSE)&amp;":"&amp;VLOOKUP($B$2,Grades!A:BU,73,FALSE))))</f>
        <v/>
      </c>
      <c r="D170" s="81"/>
      <c r="E170" s="81"/>
      <c r="F170" s="81" t="str">
        <f ca="1">IF($B170="","",IF(SUMIF(Grades!$A:$A,$B$2,Grades!$BO:$BO)=0,"-",IF(AND(VLOOKUP($B$2,Grades!$A:$BV,74,FALSE)="YES",B170&lt;Thresholds_Rates!$C$16),"-",$C170*Thresholds_Rates!$F$15)))</f>
        <v/>
      </c>
      <c r="G170" s="81" t="str">
        <f ca="1">IF(B170="","",IF(OR($B$2="Salary Points 3 to 57",$B$2="Salary Points 3 to 57 (post-pay award)"),"-",IF(SUMIF(Grades!$A:$A,$B$2,Grades!$BP:$BP)=0,"-",$C170*Thresholds_Rates!$F$16)))</f>
        <v/>
      </c>
      <c r="H170" s="81" t="str">
        <f ca="1">IF(B170="","",IF($B$2="Apprenticeship","-",IF(SUMIF(Grades!$A:$A,$B$2,Grades!$BQ:$BQ)=0,"-",IF(AND(VLOOKUP($B$2,Grades!$A:$BW,75,FALSE)="YES",B170&gt;Thresholds_Rates!$C$17),"-",$C170*Thresholds_Rates!$F$17))))</f>
        <v/>
      </c>
      <c r="I170" s="81"/>
      <c r="J170" s="81" t="str">
        <f ca="1">IF(B170="","",(C170*Thresholds_Rates!$C$12))</f>
        <v/>
      </c>
      <c r="K170" s="81"/>
      <c r="L170" s="68"/>
      <c r="M170" s="81" t="str">
        <f t="shared" ca="1" si="13"/>
        <v/>
      </c>
      <c r="N170" s="81" t="str">
        <f t="shared" ca="1" si="14"/>
        <v/>
      </c>
      <c r="O170" s="81" t="str">
        <f t="shared" ca="1" si="15"/>
        <v/>
      </c>
      <c r="P170" s="81" t="str">
        <f t="shared" ca="1" si="16"/>
        <v/>
      </c>
      <c r="Q170" s="81" t="str">
        <f t="shared" ca="1" si="17"/>
        <v/>
      </c>
      <c r="S170" s="83"/>
      <c r="T170" s="84"/>
      <c r="U170" s="83"/>
      <c r="V170" s="84"/>
    </row>
    <row r="171" spans="2:22" x14ac:dyDescent="0.25">
      <c r="B171" s="68" t="str">
        <f ca="1">IFERROR(INDEX('Points Lookup'!$A:$A,MATCH($AA173,'Points Lookup'!$AN:$AN,0)),"")</f>
        <v/>
      </c>
      <c r="C171" s="81" t="str">
        <f ca="1">IF(B171="","",SUMIF(INDIRECT("'Points Lookup'!"&amp;VLOOKUP($B$2,Grades!A:BU,72,FALSE)&amp;":"&amp;VLOOKUP($B$2,Grades!A:BU,72,FALSE)),B171,INDIRECT("'Points Lookup'!"&amp;VLOOKUP($B$2,Grades!A:BU,73,FALSE)&amp;":"&amp;VLOOKUP($B$2,Grades!A:BU,73,FALSE))))</f>
        <v/>
      </c>
      <c r="D171" s="81"/>
      <c r="E171" s="81"/>
      <c r="F171" s="81" t="str">
        <f ca="1">IF($B171="","",IF(SUMIF(Grades!$A:$A,$B$2,Grades!$BO:$BO)=0,"-",IF(AND(VLOOKUP($B$2,Grades!$A:$BV,74,FALSE)="YES",B171&lt;Thresholds_Rates!$C$16),"-",$C171*Thresholds_Rates!$F$15)))</f>
        <v/>
      </c>
      <c r="G171" s="81" t="str">
        <f ca="1">IF(B171="","",IF(OR($B$2="Salary Points 3 to 57",$B$2="Salary Points 3 to 57 (post-pay award)"),"-",IF(SUMIF(Grades!$A:$A,$B$2,Grades!$BP:$BP)=0,"-",$C171*Thresholds_Rates!$F$16)))</f>
        <v/>
      </c>
      <c r="H171" s="81" t="str">
        <f ca="1">IF(B171="","",IF($B$2="Apprenticeship","-",IF(SUMIF(Grades!$A:$A,$B$2,Grades!$BQ:$BQ)=0,"-",IF(AND(VLOOKUP($B$2,Grades!$A:$BW,75,FALSE)="YES",B171&gt;Thresholds_Rates!$C$17),"-",$C171*Thresholds_Rates!$F$17))))</f>
        <v/>
      </c>
      <c r="I171" s="81"/>
      <c r="J171" s="81" t="str">
        <f ca="1">IF(B171="","",(C171*Thresholds_Rates!$C$12))</f>
        <v/>
      </c>
      <c r="K171" s="81"/>
      <c r="L171" s="68"/>
      <c r="M171" s="81" t="str">
        <f t="shared" ca="1" si="13"/>
        <v/>
      </c>
      <c r="N171" s="81" t="str">
        <f t="shared" ca="1" si="14"/>
        <v/>
      </c>
      <c r="O171" s="81" t="str">
        <f t="shared" ca="1" si="15"/>
        <v/>
      </c>
      <c r="P171" s="81" t="str">
        <f t="shared" ca="1" si="16"/>
        <v/>
      </c>
      <c r="Q171" s="81" t="str">
        <f t="shared" ca="1" si="17"/>
        <v/>
      </c>
      <c r="S171" s="83"/>
      <c r="T171" s="84"/>
      <c r="U171" s="83"/>
      <c r="V171" s="84"/>
    </row>
    <row r="172" spans="2:22" x14ac:dyDescent="0.25">
      <c r="F172" s="81" t="str">
        <f>IF($B172="","",IF(SUMIF(Grades!$A:$A,$B$2,Grades!$BO:$BO)=0,"-",IF(AND(VLOOKUP($B$2,Grades!$A:$BV,74,FALSE)="YES",B172&lt;Thresholds_Rates!$C$16),"-",$C172*Thresholds_Rates!$F$15)))</f>
        <v/>
      </c>
      <c r="M172" s="81" t="str">
        <f t="shared" si="13"/>
        <v/>
      </c>
      <c r="N172" s="81" t="str">
        <f t="shared" si="14"/>
        <v/>
      </c>
      <c r="O172" s="81" t="str">
        <f t="shared" si="15"/>
        <v/>
      </c>
      <c r="P172" s="81" t="str">
        <f t="shared" si="16"/>
        <v/>
      </c>
      <c r="Q172" s="81" t="str">
        <f t="shared" si="17"/>
        <v/>
      </c>
    </row>
    <row r="173" spans="2:22" x14ac:dyDescent="0.25">
      <c r="F173" s="81" t="str">
        <f>IF($B173="","",IF(SUMIF(Grades!$A:$A,$B$2,Grades!$BO:$BO)=0,"-",IF(AND(VLOOKUP($B$2,Grades!$A:$BV,74,FALSE)="YES",B173&lt;Thresholds_Rates!$C$16),"-",$C173*Thresholds_Rates!$F$15)))</f>
        <v/>
      </c>
      <c r="M173" s="81" t="str">
        <f t="shared" si="13"/>
        <v/>
      </c>
      <c r="N173" s="81" t="str">
        <f t="shared" si="14"/>
        <v/>
      </c>
      <c r="O173" s="81" t="str">
        <f t="shared" si="15"/>
        <v/>
      </c>
      <c r="P173" s="81" t="str">
        <f t="shared" si="16"/>
        <v/>
      </c>
      <c r="Q173" s="81" t="str">
        <f t="shared" si="17"/>
        <v/>
      </c>
    </row>
    <row r="174" spans="2:22" x14ac:dyDescent="0.25">
      <c r="F174" s="81" t="str">
        <f>IF($B174="","",IF(SUMIF(Grades!$A:$A,$B$2,Grades!$BO:$BO)=0,"-",IF(AND(VLOOKUP($B$2,Grades!$A:$BV,74,FALSE)="YES",B174&lt;Thresholds_Rates!$C$16),"-",$C174*Thresholds_Rates!$F$15)))</f>
        <v/>
      </c>
      <c r="M174" s="81" t="str">
        <f t="shared" si="13"/>
        <v/>
      </c>
      <c r="N174" s="81" t="str">
        <f t="shared" si="14"/>
        <v/>
      </c>
      <c r="O174" s="81" t="str">
        <f t="shared" si="15"/>
        <v/>
      </c>
      <c r="P174" s="81" t="str">
        <f t="shared" si="16"/>
        <v/>
      </c>
      <c r="Q174" s="81" t="str">
        <f t="shared" si="17"/>
        <v/>
      </c>
    </row>
    <row r="175" spans="2:22" x14ac:dyDescent="0.25">
      <c r="F175" s="81" t="str">
        <f>IF($B175="","",IF(SUMIF(Grades!$A:$A,$B$2,Grades!$BO:$BO)=0,"-",IF(AND(VLOOKUP($B$2,Grades!$A:$BV,74,FALSE)="YES",B175&lt;Thresholds_Rates!$C$16),"-",$C175*Thresholds_Rates!$F$15)))</f>
        <v/>
      </c>
      <c r="M175" s="81" t="str">
        <f t="shared" si="13"/>
        <v/>
      </c>
      <c r="N175" s="81" t="str">
        <f t="shared" si="14"/>
        <v/>
      </c>
      <c r="O175" s="81" t="str">
        <f t="shared" si="15"/>
        <v/>
      </c>
      <c r="P175" s="81" t="str">
        <f t="shared" si="16"/>
        <v/>
      </c>
      <c r="Q175" s="81" t="str">
        <f t="shared" si="17"/>
        <v/>
      </c>
    </row>
    <row r="176" spans="2:22" x14ac:dyDescent="0.25">
      <c r="F176" s="81" t="str">
        <f>IF($B176="","",IF(SUMIF(Grades!$A:$A,$B$2,Grades!$BO:$BO)=0,"-",IF(AND(VLOOKUP($B$2,Grades!$A:$BV,74,FALSE)="YES",B176&lt;Thresholds_Rates!$C$16),"-",$C176*Thresholds_Rates!$F$15)))</f>
        <v/>
      </c>
      <c r="M176" s="81" t="str">
        <f t="shared" si="13"/>
        <v/>
      </c>
      <c r="N176" s="81" t="str">
        <f t="shared" si="14"/>
        <v/>
      </c>
      <c r="O176" s="81" t="str">
        <f t="shared" si="15"/>
        <v/>
      </c>
      <c r="P176" s="81" t="str">
        <f t="shared" si="16"/>
        <v/>
      </c>
      <c r="Q176" s="81" t="str">
        <f t="shared" si="17"/>
        <v/>
      </c>
    </row>
    <row r="177" spans="6:17" x14ac:dyDescent="0.25">
      <c r="F177" s="81" t="str">
        <f>IF($B177="","",IF(SUMIF(Grades!$A:$A,$B$2,Grades!$BO:$BO)=0,"-",IF(AND(VLOOKUP($B$2,Grades!$A:$BV,74,FALSE)="YES",B177&lt;Thresholds_Rates!$C$16),"-",$C177*Thresholds_Rates!$F$15)))</f>
        <v/>
      </c>
      <c r="M177" s="81" t="str">
        <f t="shared" si="13"/>
        <v/>
      </c>
      <c r="N177" s="81" t="str">
        <f t="shared" si="14"/>
        <v/>
      </c>
      <c r="O177" s="81" t="str">
        <f t="shared" si="15"/>
        <v/>
      </c>
      <c r="P177" s="81" t="str">
        <f t="shared" si="16"/>
        <v/>
      </c>
      <c r="Q177" s="81" t="str">
        <f t="shared" si="17"/>
        <v/>
      </c>
    </row>
    <row r="178" spans="6:17" x14ac:dyDescent="0.25">
      <c r="F178" s="81" t="str">
        <f>IF($B178="","",IF(SUMIF(Grades!$A:$A,$B$2,Grades!$BO:$BO)=0,"-",IF(AND(VLOOKUP($B$2,Grades!$A:$BV,74,FALSE)="YES",B178&lt;Thresholds_Rates!$C$16),"-",$C178*Thresholds_Rates!$F$15)))</f>
        <v/>
      </c>
      <c r="M178" s="81" t="str">
        <f t="shared" si="13"/>
        <v/>
      </c>
      <c r="N178" s="81" t="str">
        <f t="shared" si="14"/>
        <v/>
      </c>
      <c r="O178" s="81" t="str">
        <f t="shared" si="15"/>
        <v/>
      </c>
      <c r="P178" s="81" t="str">
        <f t="shared" si="16"/>
        <v/>
      </c>
      <c r="Q178" s="81" t="str">
        <f t="shared" si="17"/>
        <v/>
      </c>
    </row>
    <row r="179" spans="6:17" x14ac:dyDescent="0.25">
      <c r="F179" s="81" t="str">
        <f>IF($B179="","",IF(SUMIF(Grades!$A:$A,$B$2,Grades!$BO:$BO)=0,"-",IF(AND(VLOOKUP($B$2,Grades!$A:$BV,74,FALSE)="YES",B179&lt;Thresholds_Rates!$C$16),"-",$C179*Thresholds_Rates!$F$15)))</f>
        <v/>
      </c>
      <c r="M179" s="81" t="str">
        <f t="shared" si="13"/>
        <v/>
      </c>
      <c r="N179" s="81" t="str">
        <f t="shared" si="14"/>
        <v/>
      </c>
      <c r="O179" s="81" t="str">
        <f t="shared" si="15"/>
        <v/>
      </c>
      <c r="P179" s="81" t="str">
        <f t="shared" si="16"/>
        <v/>
      </c>
      <c r="Q179" s="81" t="str">
        <f t="shared" si="17"/>
        <v/>
      </c>
    </row>
    <row r="180" spans="6:17" x14ac:dyDescent="0.25">
      <c r="F180" s="81" t="str">
        <f>IF($B180="","",IF(SUMIF(Grades!$A:$A,$B$2,Grades!$BO:$BO)=0,"-",IF(AND(VLOOKUP($B$2,Grades!$A:$BV,74,FALSE)="YES",B180&lt;Thresholds_Rates!$C$16),"-",$C180*Thresholds_Rates!$F$15)))</f>
        <v/>
      </c>
      <c r="M180" s="81" t="str">
        <f t="shared" si="13"/>
        <v/>
      </c>
      <c r="N180" s="81" t="str">
        <f t="shared" si="14"/>
        <v/>
      </c>
      <c r="O180" s="81" t="str">
        <f t="shared" si="15"/>
        <v/>
      </c>
      <c r="P180" s="81" t="str">
        <f t="shared" si="16"/>
        <v/>
      </c>
      <c r="Q180" s="81" t="str">
        <f t="shared" si="17"/>
        <v/>
      </c>
    </row>
    <row r="181" spans="6:17" x14ac:dyDescent="0.25">
      <c r="F181" s="81" t="str">
        <f>IF($B181="","",IF(SUMIF(Grades!$A:$A,$B$2,Grades!$BO:$BO)=0,"-",IF(AND(VLOOKUP($B$2,Grades!$A:$BV,74,FALSE)="YES",B181&lt;Thresholds_Rates!$C$16),"-",$C181*Thresholds_Rates!$F$15)))</f>
        <v/>
      </c>
      <c r="M181" s="81" t="str">
        <f t="shared" si="13"/>
        <v/>
      </c>
      <c r="N181" s="81" t="str">
        <f t="shared" si="14"/>
        <v/>
      </c>
      <c r="O181" s="81" t="str">
        <f t="shared" si="15"/>
        <v/>
      </c>
      <c r="P181" s="81" t="str">
        <f t="shared" si="16"/>
        <v/>
      </c>
      <c r="Q181" s="81" t="str">
        <f t="shared" si="17"/>
        <v/>
      </c>
    </row>
    <row r="182" spans="6:17" x14ac:dyDescent="0.25">
      <c r="F182" s="81" t="str">
        <f>IF($B182="","",IF(SUMIF(Grades!$A:$A,$B$2,Grades!$BO:$BO)=0,"-",IF(AND(VLOOKUP($B$2,Grades!$A:$BV,74,FALSE)="YES",B182&lt;Thresholds_Rates!$C$16),"-",$C182*Thresholds_Rates!$F$15)))</f>
        <v/>
      </c>
      <c r="M182" s="81" t="str">
        <f t="shared" si="13"/>
        <v/>
      </c>
      <c r="N182" s="81" t="str">
        <f t="shared" si="14"/>
        <v/>
      </c>
      <c r="O182" s="81" t="str">
        <f t="shared" si="15"/>
        <v/>
      </c>
      <c r="P182" s="81" t="str">
        <f t="shared" si="16"/>
        <v/>
      </c>
      <c r="Q182" s="81" t="str">
        <f t="shared" si="17"/>
        <v/>
      </c>
    </row>
    <row r="183" spans="6:17" x14ac:dyDescent="0.25">
      <c r="F183" s="81" t="str">
        <f>IF($B183="","",IF(SUMIF(Grades!$A:$A,$B$2,Grades!$BO:$BO)=0,"-",IF(AND(VLOOKUP($B$2,Grades!$A:$BV,74,FALSE)="YES",B183&lt;Thresholds_Rates!$C$16),"-",$C183*Thresholds_Rates!$F$15)))</f>
        <v/>
      </c>
      <c r="M183" s="81" t="str">
        <f t="shared" si="13"/>
        <v/>
      </c>
      <c r="N183" s="81" t="str">
        <f t="shared" si="14"/>
        <v/>
      </c>
      <c r="O183" s="81" t="str">
        <f t="shared" si="15"/>
        <v/>
      </c>
      <c r="P183" s="81" t="str">
        <f t="shared" si="16"/>
        <v/>
      </c>
      <c r="Q183" s="81" t="str">
        <f t="shared" si="17"/>
        <v/>
      </c>
    </row>
    <row r="184" spans="6:17" x14ac:dyDescent="0.25">
      <c r="F184" s="81" t="str">
        <f>IF($B184="","",IF(SUMIF(Grades!$A:$A,$B$2,Grades!$BO:$BO)=0,"-",IF(AND(VLOOKUP($B$2,Grades!$A:$BV,74,FALSE)="YES",B184&lt;Thresholds_Rates!$C$16),"-",$C184*Thresholds_Rates!$F$15)))</f>
        <v/>
      </c>
      <c r="M184" s="81" t="str">
        <f t="shared" si="13"/>
        <v/>
      </c>
      <c r="N184" s="81" t="str">
        <f t="shared" si="14"/>
        <v/>
      </c>
      <c r="O184" s="81" t="str">
        <f t="shared" si="15"/>
        <v/>
      </c>
      <c r="P184" s="81" t="str">
        <f t="shared" si="16"/>
        <v/>
      </c>
      <c r="Q184" s="81" t="str">
        <f t="shared" si="17"/>
        <v/>
      </c>
    </row>
    <row r="185" spans="6:17" x14ac:dyDescent="0.25">
      <c r="F185" s="81" t="str">
        <f>IF($B185="","",IF(SUMIF(Grades!$A:$A,$B$2,Grades!$BO:$BO)=0,"-",IF(AND(VLOOKUP($B$2,Grades!$A:$BV,74,FALSE)="YES",B185&lt;Thresholds_Rates!$C$16),"-",$C185*Thresholds_Rates!$F$15)))</f>
        <v/>
      </c>
      <c r="M185" s="81" t="str">
        <f t="shared" si="13"/>
        <v/>
      </c>
      <c r="N185" s="81" t="str">
        <f t="shared" si="14"/>
        <v/>
      </c>
      <c r="O185" s="81" t="str">
        <f t="shared" si="15"/>
        <v/>
      </c>
      <c r="P185" s="81" t="str">
        <f t="shared" si="16"/>
        <v/>
      </c>
      <c r="Q185" s="81" t="str">
        <f t="shared" si="17"/>
        <v/>
      </c>
    </row>
    <row r="186" spans="6:17" x14ac:dyDescent="0.25">
      <c r="F186" s="81" t="str">
        <f>IF($B186="","",IF(SUMIF(Grades!$A:$A,$B$2,Grades!$BO:$BO)=0,"-",IF(AND(VLOOKUP($B$2,Grades!$A:$BV,74,FALSE)="YES",B186&lt;Thresholds_Rates!$C$16),"-",$C186*Thresholds_Rates!$F$15)))</f>
        <v/>
      </c>
      <c r="M186" s="81" t="str">
        <f t="shared" si="13"/>
        <v/>
      </c>
      <c r="N186" s="81" t="str">
        <f t="shared" si="14"/>
        <v/>
      </c>
      <c r="O186" s="81" t="str">
        <f t="shared" si="15"/>
        <v/>
      </c>
      <c r="P186" s="81" t="str">
        <f t="shared" si="16"/>
        <v/>
      </c>
      <c r="Q186" s="81" t="str">
        <f t="shared" si="17"/>
        <v/>
      </c>
    </row>
    <row r="187" spans="6:17" x14ac:dyDescent="0.25">
      <c r="F187" s="81" t="str">
        <f>IF($B187="","",IF(SUMIF(Grades!$A:$A,$B$2,Grades!$BO:$BO)=0,"-",IF(AND(VLOOKUP($B$2,Grades!$A:$BV,74,FALSE)="YES",B187&lt;Thresholds_Rates!$C$16),"-",$C187*Thresholds_Rates!$F$15)))</f>
        <v/>
      </c>
      <c r="M187" s="81" t="str">
        <f t="shared" si="13"/>
        <v/>
      </c>
      <c r="N187" s="81" t="str">
        <f t="shared" si="14"/>
        <v/>
      </c>
      <c r="O187" s="81" t="str">
        <f t="shared" si="15"/>
        <v/>
      </c>
      <c r="P187" s="81" t="str">
        <f t="shared" si="16"/>
        <v/>
      </c>
      <c r="Q187" s="81" t="str">
        <f t="shared" si="17"/>
        <v/>
      </c>
    </row>
    <row r="188" spans="6:17" x14ac:dyDescent="0.25">
      <c r="F188" s="81" t="str">
        <f>IF($B188="","",IF(SUMIF(Grades!$A:$A,$B$2,Grades!$BO:$BO)=0,"-",IF(AND(VLOOKUP($B$2,Grades!$A:$BV,74,FALSE)="YES",B188&lt;Thresholds_Rates!$C$16),"-",$C188*Thresholds_Rates!$F$15)))</f>
        <v/>
      </c>
      <c r="M188" s="81" t="str">
        <f t="shared" si="13"/>
        <v/>
      </c>
      <c r="N188" s="81" t="str">
        <f t="shared" si="14"/>
        <v/>
      </c>
      <c r="O188" s="81" t="str">
        <f t="shared" si="15"/>
        <v/>
      </c>
      <c r="P188" s="81" t="str">
        <f t="shared" si="16"/>
        <v/>
      </c>
      <c r="Q188" s="81" t="str">
        <f t="shared" si="17"/>
        <v/>
      </c>
    </row>
    <row r="189" spans="6:17" x14ac:dyDescent="0.25">
      <c r="F189" s="81" t="str">
        <f>IF($B189="","",IF(SUMIF(Grades!$A:$A,$B$2,Grades!$BO:$BO)=0,"-",IF(AND(VLOOKUP($B$2,Grades!$A:$BV,74,FALSE)="YES",B189&lt;Thresholds_Rates!$C$16),"-",$C189*Thresholds_Rates!$F$15)))</f>
        <v/>
      </c>
      <c r="M189" s="81" t="str">
        <f t="shared" si="13"/>
        <v/>
      </c>
      <c r="N189" s="81" t="str">
        <f t="shared" si="14"/>
        <v/>
      </c>
      <c r="O189" s="81" t="str">
        <f t="shared" si="15"/>
        <v/>
      </c>
      <c r="P189" s="81" t="str">
        <f t="shared" si="16"/>
        <v/>
      </c>
      <c r="Q189" s="81" t="str">
        <f t="shared" si="17"/>
        <v/>
      </c>
    </row>
    <row r="190" spans="6:17" x14ac:dyDescent="0.25">
      <c r="F190" s="81" t="str">
        <f>IF($B190="","",IF(SUMIF(Grades!$A:$A,$B$2,Grades!$BO:$BO)=0,"-",IF(AND(VLOOKUP($B$2,Grades!$A:$BV,74,FALSE)="YES",B190&lt;Thresholds_Rates!$C$16),"-",$C190*Thresholds_Rates!$F$15)))</f>
        <v/>
      </c>
      <c r="M190" s="81" t="str">
        <f t="shared" si="13"/>
        <v/>
      </c>
      <c r="N190" s="81" t="str">
        <f t="shared" si="14"/>
        <v/>
      </c>
      <c r="O190" s="81" t="str">
        <f t="shared" si="15"/>
        <v/>
      </c>
      <c r="P190" s="81" t="str">
        <f t="shared" si="16"/>
        <v/>
      </c>
      <c r="Q190" s="81" t="str">
        <f t="shared" si="17"/>
        <v/>
      </c>
    </row>
    <row r="191" spans="6:17" x14ac:dyDescent="0.25">
      <c r="F191" s="81" t="str">
        <f>IF($B191="","",IF(SUMIF(Grades!$A:$A,$B$2,Grades!$BO:$BO)=0,"-",IF(AND(VLOOKUP($B$2,Grades!$A:$BV,74,FALSE)="YES",B191&lt;Thresholds_Rates!$C$16),"-",$C191*Thresholds_Rates!$F$15)))</f>
        <v/>
      </c>
      <c r="M191" s="81" t="str">
        <f t="shared" si="13"/>
        <v/>
      </c>
      <c r="N191" s="81" t="str">
        <f t="shared" si="14"/>
        <v/>
      </c>
      <c r="O191" s="81" t="str">
        <f t="shared" si="15"/>
        <v/>
      </c>
      <c r="P191" s="81" t="str">
        <f t="shared" si="16"/>
        <v/>
      </c>
      <c r="Q191" s="81" t="str">
        <f t="shared" si="17"/>
        <v/>
      </c>
    </row>
    <row r="192" spans="6:17" x14ac:dyDescent="0.25">
      <c r="F192" s="81" t="str">
        <f>IF($B192="","",IF(SUMIF(Grades!$A:$A,$B$2,Grades!$BO:$BO)=0,"-",IF(AND(VLOOKUP($B$2,Grades!$A:$BV,74,FALSE)="YES",B192&lt;Thresholds_Rates!$C$16),"-",$C192*Thresholds_Rates!$F$15)))</f>
        <v/>
      </c>
      <c r="M192" s="81" t="str">
        <f t="shared" si="13"/>
        <v/>
      </c>
      <c r="N192" s="81" t="str">
        <f t="shared" si="14"/>
        <v/>
      </c>
      <c r="O192" s="81" t="str">
        <f t="shared" si="15"/>
        <v/>
      </c>
      <c r="P192" s="81" t="str">
        <f t="shared" si="16"/>
        <v/>
      </c>
      <c r="Q192" s="81" t="str">
        <f t="shared" si="17"/>
        <v/>
      </c>
    </row>
    <row r="193" spans="6:17" x14ac:dyDescent="0.25">
      <c r="F193" s="81" t="str">
        <f>IF($B193="","",IF(SUMIF(Grades!$A:$A,$B$2,Grades!$BO:$BO)=0,"-",IF(AND(VLOOKUP($B$2,Grades!$A:$BV,74,FALSE)="YES",B193&lt;Thresholds_Rates!$C$16),"-",$C193*Thresholds_Rates!$F$15)))</f>
        <v/>
      </c>
      <c r="M193" s="81" t="str">
        <f t="shared" si="13"/>
        <v/>
      </c>
      <c r="N193" s="81" t="str">
        <f t="shared" si="14"/>
        <v/>
      </c>
      <c r="O193" s="81" t="str">
        <f t="shared" si="15"/>
        <v/>
      </c>
      <c r="P193" s="81" t="str">
        <f t="shared" si="16"/>
        <v/>
      </c>
      <c r="Q193" s="81" t="str">
        <f t="shared" si="17"/>
        <v/>
      </c>
    </row>
    <row r="194" spans="6:17" x14ac:dyDescent="0.25">
      <c r="F194" s="81" t="str">
        <f>IF($B194="","",IF(SUMIF(Grades!$A:$A,$B$2,Grades!$BO:$BO)=0,"-",IF(AND(VLOOKUP($B$2,Grades!$A:$BV,74,FALSE)="YES",B194&lt;Thresholds_Rates!$C$16),"-",$C194*Thresholds_Rates!$F$15)))</f>
        <v/>
      </c>
      <c r="M194" s="81" t="str">
        <f t="shared" si="13"/>
        <v/>
      </c>
      <c r="N194" s="81" t="str">
        <f t="shared" si="14"/>
        <v/>
      </c>
      <c r="O194" s="81" t="str">
        <f t="shared" si="15"/>
        <v/>
      </c>
      <c r="P194" s="81" t="str">
        <f t="shared" si="16"/>
        <v/>
      </c>
      <c r="Q194" s="81" t="str">
        <f t="shared" si="17"/>
        <v/>
      </c>
    </row>
    <row r="195" spans="6:17" x14ac:dyDescent="0.25">
      <c r="F195" s="81" t="str">
        <f>IF($B195="","",IF(SUMIF(Grades!$A:$A,$B$2,Grades!$BO:$BO)=0,"-",IF(AND(VLOOKUP($B$2,Grades!$A:$BV,74,FALSE)="YES",B195&lt;Thresholds_Rates!$C$16),"-",$C195*Thresholds_Rates!$F$15)))</f>
        <v/>
      </c>
      <c r="M195" s="81" t="str">
        <f t="shared" si="13"/>
        <v/>
      </c>
      <c r="N195" s="81" t="str">
        <f t="shared" si="14"/>
        <v/>
      </c>
      <c r="O195" s="81" t="str">
        <f t="shared" si="15"/>
        <v/>
      </c>
      <c r="P195" s="81" t="str">
        <f t="shared" si="16"/>
        <v/>
      </c>
      <c r="Q195" s="81" t="str">
        <f t="shared" si="17"/>
        <v/>
      </c>
    </row>
    <row r="196" spans="6:17" x14ac:dyDescent="0.25">
      <c r="F196" s="81" t="str">
        <f>IF($B196="","",IF(SUMIF(Grades!$A:$A,$B$2,Grades!$BO:$BO)=0,"-",IF(AND(VLOOKUP($B$2,Grades!$A:$BV,74,FALSE)="YES",B196&lt;Thresholds_Rates!$C$16),"-",$C196*Thresholds_Rates!$F$15)))</f>
        <v/>
      </c>
      <c r="M196" s="81" t="str">
        <f t="shared" si="13"/>
        <v/>
      </c>
      <c r="N196" s="81" t="str">
        <f t="shared" si="14"/>
        <v/>
      </c>
      <c r="O196" s="81" t="str">
        <f t="shared" si="15"/>
        <v/>
      </c>
      <c r="P196" s="81" t="str">
        <f t="shared" si="16"/>
        <v/>
      </c>
      <c r="Q196" s="81" t="str">
        <f t="shared" si="17"/>
        <v/>
      </c>
    </row>
    <row r="197" spans="6:17" x14ac:dyDescent="0.25">
      <c r="F197" s="81" t="str">
        <f>IF($B197="","",IF(SUMIF(Grades!$A:$A,$B$2,Grades!$BO:$BO)=0,"-",IF(AND(VLOOKUP($B$2,Grades!$A:$BV,74,FALSE)="YES",B197&lt;Thresholds_Rates!$C$16),"-",$C197*Thresholds_Rates!$F$15)))</f>
        <v/>
      </c>
      <c r="M197" s="81" t="str">
        <f t="shared" si="13"/>
        <v/>
      </c>
      <c r="N197" s="81" t="str">
        <f t="shared" si="14"/>
        <v/>
      </c>
      <c r="O197" s="81" t="str">
        <f t="shared" si="15"/>
        <v/>
      </c>
      <c r="P197" s="81" t="str">
        <f t="shared" si="16"/>
        <v/>
      </c>
      <c r="Q197" s="81" t="str">
        <f t="shared" si="17"/>
        <v/>
      </c>
    </row>
    <row r="198" spans="6:17" x14ac:dyDescent="0.25">
      <c r="F198" s="81" t="str">
        <f>IF($B198="","",IF(SUMIF(Grades!$A:$A,$B$2,Grades!$BO:$BO)=0,"-",IF(AND(VLOOKUP($B$2,Grades!$A:$BV,74,FALSE)="YES",B198&lt;Thresholds_Rates!$C$16),"-",$C198*Thresholds_Rates!$F$15)))</f>
        <v/>
      </c>
      <c r="M198" s="81" t="str">
        <f t="shared" si="13"/>
        <v/>
      </c>
      <c r="N198" s="81" t="str">
        <f t="shared" si="14"/>
        <v/>
      </c>
      <c r="O198" s="81" t="str">
        <f t="shared" si="15"/>
        <v/>
      </c>
      <c r="P198" s="81" t="str">
        <f t="shared" si="16"/>
        <v/>
      </c>
      <c r="Q198" s="81" t="str">
        <f t="shared" si="17"/>
        <v/>
      </c>
    </row>
    <row r="199" spans="6:17" x14ac:dyDescent="0.25">
      <c r="F199" s="81" t="str">
        <f>IF($B199="","",IF(SUMIF(Grades!$A:$A,$B$2,Grades!$BO:$BO)=0,"-",IF(AND(VLOOKUP($B$2,Grades!$A:$BV,74,FALSE)="YES",B199&lt;Thresholds_Rates!$C$16),"-",$C199*Thresholds_Rates!$F$15)))</f>
        <v/>
      </c>
      <c r="M199" s="81" t="str">
        <f t="shared" si="13"/>
        <v/>
      </c>
      <c r="N199" s="81" t="str">
        <f t="shared" si="14"/>
        <v/>
      </c>
      <c r="O199" s="81" t="str">
        <f t="shared" si="15"/>
        <v/>
      </c>
      <c r="P199" s="81" t="str">
        <f t="shared" si="16"/>
        <v/>
      </c>
      <c r="Q199" s="81" t="str">
        <f t="shared" si="17"/>
        <v/>
      </c>
    </row>
    <row r="200" spans="6:17" x14ac:dyDescent="0.25">
      <c r="F200" s="81" t="str">
        <f>IF($B200="","",IF(SUMIF(Grades!$A:$A,$B$2,Grades!$BO:$BO)=0,"-",IF(AND(VLOOKUP($B$2,Grades!$A:$BV,74,FALSE)="YES",B200&lt;Thresholds_Rates!$C$16),"-",$C200*Thresholds_Rates!$F$15)))</f>
        <v/>
      </c>
      <c r="M200" s="81" t="str">
        <f t="shared" ref="M200:M263" si="18">IF(B200="","",IF(F200="-","-",$C200+$I200+F200+J200))</f>
        <v/>
      </c>
      <c r="N200" s="81" t="str">
        <f t="shared" ref="N200:N263" si="19">IF(B200="","",IF(G200="-","-",$C200+$I200+G200+J200))</f>
        <v/>
      </c>
      <c r="O200" s="81" t="str">
        <f t="shared" ref="O200:O263" si="20">IF(B200="","",IF(H200="-","-",$C200+$I200+H200+J200))</f>
        <v/>
      </c>
      <c r="P200" s="81" t="str">
        <f t="shared" ref="P200:P263" si="21">IF(B200="","",IF(K200="-","-",$C200+$I200+K200+J200))</f>
        <v/>
      </c>
      <c r="Q200" s="81" t="str">
        <f t="shared" ref="Q200:Q263" si="22">IF(B200="","",C200+I200+J200)</f>
        <v/>
      </c>
    </row>
    <row r="201" spans="6:17" x14ac:dyDescent="0.25">
      <c r="F201" s="81" t="str">
        <f>IF($B201="","",IF(SUMIF(Grades!$A:$A,$B$2,Grades!$BO:$BO)=0,"-",IF(AND(VLOOKUP($B$2,Grades!$A:$BV,74,FALSE)="YES",B201&lt;Thresholds_Rates!$C$16),"-",$C201*Thresholds_Rates!$F$15)))</f>
        <v/>
      </c>
      <c r="M201" s="81" t="str">
        <f t="shared" si="18"/>
        <v/>
      </c>
      <c r="N201" s="81" t="str">
        <f t="shared" si="19"/>
        <v/>
      </c>
      <c r="O201" s="81" t="str">
        <f t="shared" si="20"/>
        <v/>
      </c>
      <c r="P201" s="81" t="str">
        <f t="shared" si="21"/>
        <v/>
      </c>
      <c r="Q201" s="81" t="str">
        <f t="shared" si="22"/>
        <v/>
      </c>
    </row>
    <row r="202" spans="6:17" x14ac:dyDescent="0.25">
      <c r="F202" s="81" t="str">
        <f>IF($B202="","",IF(SUMIF(Grades!$A:$A,$B$2,Grades!$BO:$BO)=0,"-",IF(AND(VLOOKUP($B$2,Grades!$A:$BV,74,FALSE)="YES",B202&lt;Thresholds_Rates!$C$16),"-",$C202*Thresholds_Rates!$F$15)))</f>
        <v/>
      </c>
      <c r="M202" s="81" t="str">
        <f t="shared" si="18"/>
        <v/>
      </c>
      <c r="N202" s="81" t="str">
        <f t="shared" si="19"/>
        <v/>
      </c>
      <c r="O202" s="81" t="str">
        <f t="shared" si="20"/>
        <v/>
      </c>
      <c r="P202" s="81" t="str">
        <f t="shared" si="21"/>
        <v/>
      </c>
      <c r="Q202" s="81" t="str">
        <f t="shared" si="22"/>
        <v/>
      </c>
    </row>
    <row r="203" spans="6:17" x14ac:dyDescent="0.25">
      <c r="F203" s="81" t="str">
        <f>IF($B203="","",IF(SUMIF(Grades!$A:$A,$B$2,Grades!$BO:$BO)=0,"-",IF(AND(VLOOKUP($B$2,Grades!$A:$BV,74,FALSE)="YES",B203&lt;Thresholds_Rates!$C$16),"-",$C203*Thresholds_Rates!$F$15)))</f>
        <v/>
      </c>
      <c r="M203" s="81" t="str">
        <f t="shared" si="18"/>
        <v/>
      </c>
      <c r="N203" s="81" t="str">
        <f t="shared" si="19"/>
        <v/>
      </c>
      <c r="O203" s="81" t="str">
        <f t="shared" si="20"/>
        <v/>
      </c>
      <c r="P203" s="81" t="str">
        <f t="shared" si="21"/>
        <v/>
      </c>
      <c r="Q203" s="81" t="str">
        <f t="shared" si="22"/>
        <v/>
      </c>
    </row>
    <row r="204" spans="6:17" x14ac:dyDescent="0.25">
      <c r="F204" s="81" t="str">
        <f>IF($B204="","",IF(SUMIF(Grades!$A:$A,$B$2,Grades!$BO:$BO)=0,"-",IF(AND(VLOOKUP($B$2,Grades!$A:$BV,74,FALSE)="YES",B204&lt;Thresholds_Rates!$C$16),"-",$C204*Thresholds_Rates!$F$15)))</f>
        <v/>
      </c>
      <c r="M204" s="81" t="str">
        <f t="shared" si="18"/>
        <v/>
      </c>
      <c r="N204" s="81" t="str">
        <f t="shared" si="19"/>
        <v/>
      </c>
      <c r="O204" s="81" t="str">
        <f t="shared" si="20"/>
        <v/>
      </c>
      <c r="P204" s="81" t="str">
        <f t="shared" si="21"/>
        <v/>
      </c>
      <c r="Q204" s="81" t="str">
        <f t="shared" si="22"/>
        <v/>
      </c>
    </row>
    <row r="205" spans="6:17" x14ac:dyDescent="0.25">
      <c r="F205" s="81" t="str">
        <f>IF($B205="","",IF(SUMIF(Grades!$A:$A,$B$2,Grades!$BO:$BO)=0,"-",IF(AND(VLOOKUP($B$2,Grades!$A:$BV,74,FALSE)="YES",B205&lt;Thresholds_Rates!$C$16),"-",$C205*Thresholds_Rates!$F$15)))</f>
        <v/>
      </c>
      <c r="M205" s="81" t="str">
        <f t="shared" si="18"/>
        <v/>
      </c>
      <c r="N205" s="81" t="str">
        <f t="shared" si="19"/>
        <v/>
      </c>
      <c r="O205" s="81" t="str">
        <f t="shared" si="20"/>
        <v/>
      </c>
      <c r="P205" s="81" t="str">
        <f t="shared" si="21"/>
        <v/>
      </c>
      <c r="Q205" s="81" t="str">
        <f t="shared" si="22"/>
        <v/>
      </c>
    </row>
    <row r="206" spans="6:17" x14ac:dyDescent="0.25">
      <c r="F206" s="81" t="str">
        <f>IF($B206="","",IF(SUMIF(Grades!$A:$A,$B$2,Grades!$BO:$BO)=0,"-",IF(AND(VLOOKUP($B$2,Grades!$A:$BV,74,FALSE)="YES",B206&lt;Thresholds_Rates!$C$16),"-",$C206*Thresholds_Rates!$F$15)))</f>
        <v/>
      </c>
      <c r="M206" s="81" t="str">
        <f t="shared" si="18"/>
        <v/>
      </c>
      <c r="N206" s="81" t="str">
        <f t="shared" si="19"/>
        <v/>
      </c>
      <c r="O206" s="81" t="str">
        <f t="shared" si="20"/>
        <v/>
      </c>
      <c r="P206" s="81" t="str">
        <f t="shared" si="21"/>
        <v/>
      </c>
      <c r="Q206" s="81" t="str">
        <f t="shared" si="22"/>
        <v/>
      </c>
    </row>
    <row r="207" spans="6:17" x14ac:dyDescent="0.25">
      <c r="F207" s="81" t="str">
        <f>IF($B207="","",IF(SUMIF(Grades!$A:$A,$B$2,Grades!$BO:$BO)=0,"-",IF(AND(VLOOKUP($B$2,Grades!$A:$BV,74,FALSE)="YES",B207&lt;Thresholds_Rates!$C$16),"-",$C207*Thresholds_Rates!$F$15)))</f>
        <v/>
      </c>
      <c r="M207" s="81" t="str">
        <f t="shared" si="18"/>
        <v/>
      </c>
      <c r="N207" s="81" t="str">
        <f t="shared" si="19"/>
        <v/>
      </c>
      <c r="O207" s="81" t="str">
        <f t="shared" si="20"/>
        <v/>
      </c>
      <c r="P207" s="81" t="str">
        <f t="shared" si="21"/>
        <v/>
      </c>
      <c r="Q207" s="81" t="str">
        <f t="shared" si="22"/>
        <v/>
      </c>
    </row>
    <row r="208" spans="6:17" x14ac:dyDescent="0.25">
      <c r="F208" s="81" t="str">
        <f>IF($B208="","",IF(SUMIF(Grades!$A:$A,$B$2,Grades!$BO:$BO)=0,"-",IF(AND(VLOOKUP($B$2,Grades!$A:$BV,74,FALSE)="YES",B208&lt;Thresholds_Rates!$C$16),"-",$C208*Thresholds_Rates!$F$15)))</f>
        <v/>
      </c>
      <c r="M208" s="81" t="str">
        <f t="shared" si="18"/>
        <v/>
      </c>
      <c r="N208" s="81" t="str">
        <f t="shared" si="19"/>
        <v/>
      </c>
      <c r="O208" s="81" t="str">
        <f t="shared" si="20"/>
        <v/>
      </c>
      <c r="P208" s="81" t="str">
        <f t="shared" si="21"/>
        <v/>
      </c>
      <c r="Q208" s="81" t="str">
        <f t="shared" si="22"/>
        <v/>
      </c>
    </row>
    <row r="209" spans="6:17" x14ac:dyDescent="0.25">
      <c r="F209" s="81" t="str">
        <f>IF($B209="","",IF(SUMIF(Grades!$A:$A,$B$2,Grades!$BO:$BO)=0,"-",IF(AND(VLOOKUP($B$2,Grades!$A:$BV,74,FALSE)="YES",B209&lt;Thresholds_Rates!$C$16),"-",$C209*Thresholds_Rates!$F$15)))</f>
        <v/>
      </c>
      <c r="M209" s="81" t="str">
        <f t="shared" si="18"/>
        <v/>
      </c>
      <c r="N209" s="81" t="str">
        <f t="shared" si="19"/>
        <v/>
      </c>
      <c r="O209" s="81" t="str">
        <f t="shared" si="20"/>
        <v/>
      </c>
      <c r="P209" s="81" t="str">
        <f t="shared" si="21"/>
        <v/>
      </c>
      <c r="Q209" s="81" t="str">
        <f t="shared" si="22"/>
        <v/>
      </c>
    </row>
    <row r="210" spans="6:17" x14ac:dyDescent="0.25">
      <c r="F210" s="81" t="str">
        <f>IF($B210="","",IF(SUMIF(Grades!$A:$A,$B$2,Grades!$BO:$BO)=0,"-",IF(AND(VLOOKUP($B$2,Grades!$A:$BV,74,FALSE)="YES",B210&lt;Thresholds_Rates!$C$16),"-",$C210*Thresholds_Rates!$F$15)))</f>
        <v/>
      </c>
      <c r="M210" s="81" t="str">
        <f t="shared" si="18"/>
        <v/>
      </c>
      <c r="N210" s="81" t="str">
        <f t="shared" si="19"/>
        <v/>
      </c>
      <c r="O210" s="81" t="str">
        <f t="shared" si="20"/>
        <v/>
      </c>
      <c r="P210" s="81" t="str">
        <f t="shared" si="21"/>
        <v/>
      </c>
      <c r="Q210" s="81" t="str">
        <f t="shared" si="22"/>
        <v/>
      </c>
    </row>
    <row r="211" spans="6:17" x14ac:dyDescent="0.25">
      <c r="F211" s="81" t="str">
        <f>IF($B211="","",IF(SUMIF(Grades!$A:$A,$B$2,Grades!$BO:$BO)=0,"-",IF(AND(VLOOKUP($B$2,Grades!$A:$BV,74,FALSE)="YES",B211&lt;Thresholds_Rates!$C$16),"-",$C211*Thresholds_Rates!$F$15)))</f>
        <v/>
      </c>
      <c r="M211" s="81" t="str">
        <f t="shared" si="18"/>
        <v/>
      </c>
      <c r="N211" s="81" t="str">
        <f t="shared" si="19"/>
        <v/>
      </c>
      <c r="O211" s="81" t="str">
        <f t="shared" si="20"/>
        <v/>
      </c>
      <c r="P211" s="81" t="str">
        <f t="shared" si="21"/>
        <v/>
      </c>
      <c r="Q211" s="81" t="str">
        <f t="shared" si="22"/>
        <v/>
      </c>
    </row>
    <row r="212" spans="6:17" x14ac:dyDescent="0.25">
      <c r="F212" s="81" t="str">
        <f>IF($B212="","",IF(SUMIF(Grades!$A:$A,$B$2,Grades!$BO:$BO)=0,"-",IF(AND(VLOOKUP($B$2,Grades!$A:$BV,74,FALSE)="YES",B212&lt;Thresholds_Rates!$C$16),"-",$C212*Thresholds_Rates!$F$15)))</f>
        <v/>
      </c>
      <c r="M212" s="81" t="str">
        <f t="shared" si="18"/>
        <v/>
      </c>
      <c r="N212" s="81" t="str">
        <f t="shared" si="19"/>
        <v/>
      </c>
      <c r="O212" s="81" t="str">
        <f t="shared" si="20"/>
        <v/>
      </c>
      <c r="P212" s="81" t="str">
        <f t="shared" si="21"/>
        <v/>
      </c>
      <c r="Q212" s="81" t="str">
        <f t="shared" si="22"/>
        <v/>
      </c>
    </row>
    <row r="213" spans="6:17" x14ac:dyDescent="0.25">
      <c r="F213" s="81" t="str">
        <f>IF($B213="","",IF(SUMIF(Grades!$A:$A,$B$2,Grades!$BO:$BO)=0,"-",IF(AND(VLOOKUP($B$2,Grades!$A:$BV,74,FALSE)="YES",B213&lt;Thresholds_Rates!$C$16),"-",$C213*Thresholds_Rates!$F$15)))</f>
        <v/>
      </c>
      <c r="M213" s="81" t="str">
        <f t="shared" si="18"/>
        <v/>
      </c>
      <c r="N213" s="81" t="str">
        <f t="shared" si="19"/>
        <v/>
      </c>
      <c r="O213" s="81" t="str">
        <f t="shared" si="20"/>
        <v/>
      </c>
      <c r="P213" s="81" t="str">
        <f t="shared" si="21"/>
        <v/>
      </c>
      <c r="Q213" s="81" t="str">
        <f t="shared" si="22"/>
        <v/>
      </c>
    </row>
    <row r="214" spans="6:17" x14ac:dyDescent="0.25">
      <c r="F214" s="81" t="str">
        <f>IF($B214="","",IF(SUMIF(Grades!$A:$A,$B$2,Grades!$BO:$BO)=0,"-",IF(AND(VLOOKUP($B$2,Grades!$A:$BV,74,FALSE)="YES",B214&lt;Thresholds_Rates!$C$16),"-",$C214*Thresholds_Rates!$F$15)))</f>
        <v/>
      </c>
      <c r="M214" s="81" t="str">
        <f t="shared" si="18"/>
        <v/>
      </c>
      <c r="N214" s="81" t="str">
        <f t="shared" si="19"/>
        <v/>
      </c>
      <c r="O214" s="81" t="str">
        <f t="shared" si="20"/>
        <v/>
      </c>
      <c r="P214" s="81" t="str">
        <f t="shared" si="21"/>
        <v/>
      </c>
      <c r="Q214" s="81" t="str">
        <f t="shared" si="22"/>
        <v/>
      </c>
    </row>
    <row r="215" spans="6:17" x14ac:dyDescent="0.25">
      <c r="F215" s="81" t="str">
        <f>IF($B215="","",IF(SUMIF(Grades!$A:$A,$B$2,Grades!$BO:$BO)=0,"-",IF(AND(VLOOKUP($B$2,Grades!$A:$BV,74,FALSE)="YES",B215&lt;Thresholds_Rates!$C$16),"-",$C215*Thresholds_Rates!$F$15)))</f>
        <v/>
      </c>
      <c r="M215" s="81" t="str">
        <f t="shared" si="18"/>
        <v/>
      </c>
      <c r="N215" s="81" t="str">
        <f t="shared" si="19"/>
        <v/>
      </c>
      <c r="O215" s="81" t="str">
        <f t="shared" si="20"/>
        <v/>
      </c>
      <c r="P215" s="81" t="str">
        <f t="shared" si="21"/>
        <v/>
      </c>
      <c r="Q215" s="81" t="str">
        <f t="shared" si="22"/>
        <v/>
      </c>
    </row>
    <row r="216" spans="6:17" x14ac:dyDescent="0.25">
      <c r="F216" s="81" t="str">
        <f>IF($B216="","",IF(SUMIF(Grades!$A:$A,$B$2,Grades!$BO:$BO)=0,"-",IF(AND(VLOOKUP($B$2,Grades!$A:$BV,74,FALSE)="YES",B216&lt;Thresholds_Rates!$C$16),"-",$C216*Thresholds_Rates!$F$15)))</f>
        <v/>
      </c>
      <c r="M216" s="81" t="str">
        <f t="shared" si="18"/>
        <v/>
      </c>
      <c r="N216" s="81" t="str">
        <f t="shared" si="19"/>
        <v/>
      </c>
      <c r="O216" s="81" t="str">
        <f t="shared" si="20"/>
        <v/>
      </c>
      <c r="P216" s="81" t="str">
        <f t="shared" si="21"/>
        <v/>
      </c>
      <c r="Q216" s="81" t="str">
        <f t="shared" si="22"/>
        <v/>
      </c>
    </row>
    <row r="217" spans="6:17" x14ac:dyDescent="0.25">
      <c r="F217" s="81" t="str">
        <f>IF($B217="","",IF(SUMIF(Grades!$A:$A,$B$2,Grades!$BO:$BO)=0,"-",IF(AND(VLOOKUP($B$2,Grades!$A:$BV,74,FALSE)="YES",B217&lt;Thresholds_Rates!$C$16),"-",$C217*Thresholds_Rates!$F$15)))</f>
        <v/>
      </c>
      <c r="M217" s="81" t="str">
        <f t="shared" si="18"/>
        <v/>
      </c>
      <c r="N217" s="81" t="str">
        <f t="shared" si="19"/>
        <v/>
      </c>
      <c r="O217" s="81" t="str">
        <f t="shared" si="20"/>
        <v/>
      </c>
      <c r="P217" s="81" t="str">
        <f t="shared" si="21"/>
        <v/>
      </c>
      <c r="Q217" s="81" t="str">
        <f t="shared" si="22"/>
        <v/>
      </c>
    </row>
    <row r="218" spans="6:17" x14ac:dyDescent="0.25">
      <c r="F218" s="81" t="str">
        <f>IF($B218="","",IF(SUMIF(Grades!$A:$A,$B$2,Grades!$BO:$BO)=0,"-",IF(AND(VLOOKUP($B$2,Grades!$A:$BV,74,FALSE)="YES",B218&lt;Thresholds_Rates!$C$16),"-",$C218*Thresholds_Rates!$F$15)))</f>
        <v/>
      </c>
      <c r="M218" s="81" t="str">
        <f t="shared" si="18"/>
        <v/>
      </c>
      <c r="N218" s="81" t="str">
        <f t="shared" si="19"/>
        <v/>
      </c>
      <c r="O218" s="81" t="str">
        <f t="shared" si="20"/>
        <v/>
      </c>
      <c r="P218" s="81" t="str">
        <f t="shared" si="21"/>
        <v/>
      </c>
      <c r="Q218" s="81" t="str">
        <f t="shared" si="22"/>
        <v/>
      </c>
    </row>
    <row r="219" spans="6:17" x14ac:dyDescent="0.25">
      <c r="F219" s="81" t="str">
        <f>IF($B219="","",IF(SUMIF(Grades!$A:$A,$B$2,Grades!$BO:$BO)=0,"-",IF(AND(VLOOKUP($B$2,Grades!$A:$BV,74,FALSE)="YES",B219&lt;Thresholds_Rates!$C$16),"-",$C219*Thresholds_Rates!$F$15)))</f>
        <v/>
      </c>
      <c r="M219" s="81" t="str">
        <f t="shared" si="18"/>
        <v/>
      </c>
      <c r="N219" s="81" t="str">
        <f t="shared" si="19"/>
        <v/>
      </c>
      <c r="O219" s="81" t="str">
        <f t="shared" si="20"/>
        <v/>
      </c>
      <c r="P219" s="81" t="str">
        <f t="shared" si="21"/>
        <v/>
      </c>
      <c r="Q219" s="81" t="str">
        <f t="shared" si="22"/>
        <v/>
      </c>
    </row>
    <row r="220" spans="6:17" x14ac:dyDescent="0.25">
      <c r="F220" s="81" t="str">
        <f>IF($B220="","",IF(SUMIF(Grades!$A:$A,$B$2,Grades!$BO:$BO)=0,"-",IF(AND(VLOOKUP($B$2,Grades!$A:$BV,74,FALSE)="YES",B220&lt;Thresholds_Rates!$C$16),"-",$C220*Thresholds_Rates!$F$15)))</f>
        <v/>
      </c>
      <c r="M220" s="81" t="str">
        <f t="shared" si="18"/>
        <v/>
      </c>
      <c r="N220" s="81" t="str">
        <f t="shared" si="19"/>
        <v/>
      </c>
      <c r="O220" s="81" t="str">
        <f t="shared" si="20"/>
        <v/>
      </c>
      <c r="P220" s="81" t="str">
        <f t="shared" si="21"/>
        <v/>
      </c>
      <c r="Q220" s="81" t="str">
        <f t="shared" si="22"/>
        <v/>
      </c>
    </row>
    <row r="221" spans="6:17" x14ac:dyDescent="0.25">
      <c r="F221" s="81" t="str">
        <f>IF($B221="","",IF(SUMIF(Grades!$A:$A,$B$2,Grades!$BO:$BO)=0,"-",IF(AND(VLOOKUP($B$2,Grades!$A:$BV,74,FALSE)="YES",B221&lt;Thresholds_Rates!$C$16),"-",$C221*Thresholds_Rates!$F$15)))</f>
        <v/>
      </c>
      <c r="M221" s="81" t="str">
        <f t="shared" si="18"/>
        <v/>
      </c>
      <c r="N221" s="81" t="str">
        <f t="shared" si="19"/>
        <v/>
      </c>
      <c r="O221" s="81" t="str">
        <f t="shared" si="20"/>
        <v/>
      </c>
      <c r="P221" s="81" t="str">
        <f t="shared" si="21"/>
        <v/>
      </c>
      <c r="Q221" s="81" t="str">
        <f t="shared" si="22"/>
        <v/>
      </c>
    </row>
    <row r="222" spans="6:17" x14ac:dyDescent="0.25">
      <c r="F222" s="81" t="str">
        <f>IF($B222="","",IF(SUMIF(Grades!$A:$A,$B$2,Grades!$BO:$BO)=0,"-",IF(AND(VLOOKUP($B$2,Grades!$A:$BV,74,FALSE)="YES",B222&lt;Thresholds_Rates!$C$16),"-",$C222*Thresholds_Rates!$F$15)))</f>
        <v/>
      </c>
      <c r="M222" s="81" t="str">
        <f t="shared" si="18"/>
        <v/>
      </c>
      <c r="N222" s="81" t="str">
        <f t="shared" si="19"/>
        <v/>
      </c>
      <c r="O222" s="81" t="str">
        <f t="shared" si="20"/>
        <v/>
      </c>
      <c r="P222" s="81" t="str">
        <f t="shared" si="21"/>
        <v/>
      </c>
      <c r="Q222" s="81" t="str">
        <f t="shared" si="22"/>
        <v/>
      </c>
    </row>
    <row r="223" spans="6:17" x14ac:dyDescent="0.25">
      <c r="F223" s="81" t="str">
        <f>IF($B223="","",IF(SUMIF(Grades!$A:$A,$B$2,Grades!$BO:$BO)=0,"-",IF(AND(VLOOKUP($B$2,Grades!$A:$BV,74,FALSE)="YES",B223&lt;Thresholds_Rates!$C$16),"-",$C223*Thresholds_Rates!$F$15)))</f>
        <v/>
      </c>
      <c r="M223" s="81" t="str">
        <f t="shared" si="18"/>
        <v/>
      </c>
      <c r="N223" s="81" t="str">
        <f t="shared" si="19"/>
        <v/>
      </c>
      <c r="O223" s="81" t="str">
        <f t="shared" si="20"/>
        <v/>
      </c>
      <c r="P223" s="81" t="str">
        <f t="shared" si="21"/>
        <v/>
      </c>
      <c r="Q223" s="81" t="str">
        <f t="shared" si="22"/>
        <v/>
      </c>
    </row>
    <row r="224" spans="6:17" x14ac:dyDescent="0.25">
      <c r="F224" s="81" t="str">
        <f>IF($B224="","",IF(SUMIF(Grades!$A:$A,$B$2,Grades!$BO:$BO)=0,"-",IF(AND(VLOOKUP($B$2,Grades!$A:$BV,74,FALSE)="YES",B224&lt;Thresholds_Rates!$C$16),"-",$C224*Thresholds_Rates!$F$15)))</f>
        <v/>
      </c>
      <c r="M224" s="81" t="str">
        <f t="shared" si="18"/>
        <v/>
      </c>
      <c r="N224" s="81" t="str">
        <f t="shared" si="19"/>
        <v/>
      </c>
      <c r="O224" s="81" t="str">
        <f t="shared" si="20"/>
        <v/>
      </c>
      <c r="P224" s="81" t="str">
        <f t="shared" si="21"/>
        <v/>
      </c>
      <c r="Q224" s="81" t="str">
        <f t="shared" si="22"/>
        <v/>
      </c>
    </row>
    <row r="225" spans="6:17" x14ac:dyDescent="0.25">
      <c r="F225" s="81" t="str">
        <f>IF($B225="","",IF(SUMIF(Grades!$A:$A,$B$2,Grades!$BO:$BO)=0,"-",IF(AND(VLOOKUP($B$2,Grades!$A:$BV,74,FALSE)="YES",B225&lt;Thresholds_Rates!$C$16),"-",$C225*Thresholds_Rates!$F$15)))</f>
        <v/>
      </c>
      <c r="M225" s="81" t="str">
        <f t="shared" si="18"/>
        <v/>
      </c>
      <c r="N225" s="81" t="str">
        <f t="shared" si="19"/>
        <v/>
      </c>
      <c r="O225" s="81" t="str">
        <f t="shared" si="20"/>
        <v/>
      </c>
      <c r="P225" s="81" t="str">
        <f t="shared" si="21"/>
        <v/>
      </c>
      <c r="Q225" s="81" t="str">
        <f t="shared" si="22"/>
        <v/>
      </c>
    </row>
    <row r="226" spans="6:17" x14ac:dyDescent="0.25">
      <c r="F226" s="81" t="str">
        <f>IF($B226="","",IF(SUMIF(Grades!$A:$A,$B$2,Grades!$BO:$BO)=0,"-",IF(AND(VLOOKUP($B$2,Grades!$A:$BV,74,FALSE)="YES",B226&lt;Thresholds_Rates!$C$16),"-",$C226*Thresholds_Rates!$F$15)))</f>
        <v/>
      </c>
      <c r="M226" s="81" t="str">
        <f t="shared" si="18"/>
        <v/>
      </c>
      <c r="N226" s="81" t="str">
        <f t="shared" si="19"/>
        <v/>
      </c>
      <c r="O226" s="81" t="str">
        <f t="shared" si="20"/>
        <v/>
      </c>
      <c r="P226" s="81" t="str">
        <f t="shared" si="21"/>
        <v/>
      </c>
      <c r="Q226" s="81" t="str">
        <f t="shared" si="22"/>
        <v/>
      </c>
    </row>
    <row r="227" spans="6:17" x14ac:dyDescent="0.25">
      <c r="F227" s="81" t="str">
        <f>IF($B227="","",IF(SUMIF(Grades!$A:$A,$B$2,Grades!$BO:$BO)=0,"-",IF(AND(VLOOKUP($B$2,Grades!$A:$BV,74,FALSE)="YES",B227&lt;Thresholds_Rates!$C$16),"-",$C227*Thresholds_Rates!$F$15)))</f>
        <v/>
      </c>
      <c r="M227" s="81" t="str">
        <f t="shared" si="18"/>
        <v/>
      </c>
      <c r="N227" s="81" t="str">
        <f t="shared" si="19"/>
        <v/>
      </c>
      <c r="O227" s="81" t="str">
        <f t="shared" si="20"/>
        <v/>
      </c>
      <c r="P227" s="81" t="str">
        <f t="shared" si="21"/>
        <v/>
      </c>
      <c r="Q227" s="81" t="str">
        <f t="shared" si="22"/>
        <v/>
      </c>
    </row>
    <row r="228" spans="6:17" x14ac:dyDescent="0.25">
      <c r="F228" s="81" t="str">
        <f>IF($B228="","",IF(SUMIF(Grades!$A:$A,$B$2,Grades!$BO:$BO)=0,"-",IF(AND(VLOOKUP($B$2,Grades!$A:$BV,74,FALSE)="YES",B228&lt;Thresholds_Rates!$C$16),"-",$C228*Thresholds_Rates!$F$15)))</f>
        <v/>
      </c>
      <c r="M228" s="81" t="str">
        <f t="shared" si="18"/>
        <v/>
      </c>
      <c r="N228" s="81" t="str">
        <f t="shared" si="19"/>
        <v/>
      </c>
      <c r="O228" s="81" t="str">
        <f t="shared" si="20"/>
        <v/>
      </c>
      <c r="P228" s="81" t="str">
        <f t="shared" si="21"/>
        <v/>
      </c>
      <c r="Q228" s="81" t="str">
        <f t="shared" si="22"/>
        <v/>
      </c>
    </row>
    <row r="229" spans="6:17" x14ac:dyDescent="0.25">
      <c r="F229" s="81" t="str">
        <f>IF($B229="","",IF(SUMIF(Grades!$A:$A,$B$2,Grades!$BO:$BO)=0,"-",IF(AND(VLOOKUP($B$2,Grades!$A:$BV,74,FALSE)="YES",B229&lt;Thresholds_Rates!$C$16),"-",$C229*Thresholds_Rates!$F$15)))</f>
        <v/>
      </c>
      <c r="M229" s="81" t="str">
        <f t="shared" si="18"/>
        <v/>
      </c>
      <c r="N229" s="81" t="str">
        <f t="shared" si="19"/>
        <v/>
      </c>
      <c r="O229" s="81" t="str">
        <f t="shared" si="20"/>
        <v/>
      </c>
      <c r="P229" s="81" t="str">
        <f t="shared" si="21"/>
        <v/>
      </c>
      <c r="Q229" s="81" t="str">
        <f t="shared" si="22"/>
        <v/>
      </c>
    </row>
    <row r="230" spans="6:17" x14ac:dyDescent="0.25">
      <c r="F230" s="81" t="str">
        <f>IF($B230="","",IF(SUMIF(Grades!$A:$A,$B$2,Grades!$BO:$BO)=0,"-",IF(AND(VLOOKUP($B$2,Grades!$A:$BV,74,FALSE)="YES",B230&lt;Thresholds_Rates!$C$16),"-",$C230*Thresholds_Rates!$F$15)))</f>
        <v/>
      </c>
      <c r="M230" s="81" t="str">
        <f t="shared" si="18"/>
        <v/>
      </c>
      <c r="N230" s="81" t="str">
        <f t="shared" si="19"/>
        <v/>
      </c>
      <c r="O230" s="81" t="str">
        <f t="shared" si="20"/>
        <v/>
      </c>
      <c r="P230" s="81" t="str">
        <f t="shared" si="21"/>
        <v/>
      </c>
      <c r="Q230" s="81" t="str">
        <f t="shared" si="22"/>
        <v/>
      </c>
    </row>
    <row r="231" spans="6:17" x14ac:dyDescent="0.25">
      <c r="F231" s="81" t="str">
        <f>IF($B231="","",IF(SUMIF(Grades!$A:$A,$B$2,Grades!$BO:$BO)=0,"-",IF(AND(VLOOKUP($B$2,Grades!$A:$BV,74,FALSE)="YES",B231&lt;Thresholds_Rates!$C$16),"-",$C231*Thresholds_Rates!$F$15)))</f>
        <v/>
      </c>
      <c r="M231" s="81" t="str">
        <f t="shared" si="18"/>
        <v/>
      </c>
      <c r="N231" s="81" t="str">
        <f t="shared" si="19"/>
        <v/>
      </c>
      <c r="O231" s="81" t="str">
        <f t="shared" si="20"/>
        <v/>
      </c>
      <c r="P231" s="81" t="str">
        <f t="shared" si="21"/>
        <v/>
      </c>
      <c r="Q231" s="81" t="str">
        <f t="shared" si="22"/>
        <v/>
      </c>
    </row>
    <row r="232" spans="6:17" x14ac:dyDescent="0.25">
      <c r="F232" s="81" t="str">
        <f>IF($B232="","",IF(SUMIF(Grades!$A:$A,$B$2,Grades!$BO:$BO)=0,"-",IF(AND(VLOOKUP($B$2,Grades!$A:$BV,74,FALSE)="YES",B232&lt;Thresholds_Rates!$C$16),"-",$C232*Thresholds_Rates!$F$15)))</f>
        <v/>
      </c>
      <c r="M232" s="81" t="str">
        <f t="shared" si="18"/>
        <v/>
      </c>
      <c r="N232" s="81" t="str">
        <f t="shared" si="19"/>
        <v/>
      </c>
      <c r="O232" s="81" t="str">
        <f t="shared" si="20"/>
        <v/>
      </c>
      <c r="P232" s="81" t="str">
        <f t="shared" si="21"/>
        <v/>
      </c>
      <c r="Q232" s="81" t="str">
        <f t="shared" si="22"/>
        <v/>
      </c>
    </row>
    <row r="233" spans="6:17" x14ac:dyDescent="0.25">
      <c r="F233" s="81" t="str">
        <f>IF($B233="","",IF(SUMIF(Grades!$A:$A,$B$2,Grades!$BO:$BO)=0,"-",IF(AND(VLOOKUP($B$2,Grades!$A:$BV,74,FALSE)="YES",B233&lt;Thresholds_Rates!$C$16),"-",$C233*Thresholds_Rates!$F$15)))</f>
        <v/>
      </c>
      <c r="M233" s="81" t="str">
        <f t="shared" si="18"/>
        <v/>
      </c>
      <c r="N233" s="81" t="str">
        <f t="shared" si="19"/>
        <v/>
      </c>
      <c r="O233" s="81" t="str">
        <f t="shared" si="20"/>
        <v/>
      </c>
      <c r="P233" s="81" t="str">
        <f t="shared" si="21"/>
        <v/>
      </c>
      <c r="Q233" s="81" t="str">
        <f t="shared" si="22"/>
        <v/>
      </c>
    </row>
    <row r="234" spans="6:17" x14ac:dyDescent="0.25">
      <c r="F234" s="81" t="str">
        <f>IF($B234="","",IF(SUMIF(Grades!$A:$A,$B$2,Grades!$BO:$BO)=0,"-",IF(AND(VLOOKUP($B$2,Grades!$A:$BV,74,FALSE)="YES",B234&lt;Thresholds_Rates!$C$16),"-",$C234*Thresholds_Rates!$F$15)))</f>
        <v/>
      </c>
      <c r="M234" s="81" t="str">
        <f t="shared" si="18"/>
        <v/>
      </c>
      <c r="N234" s="81" t="str">
        <f t="shared" si="19"/>
        <v/>
      </c>
      <c r="O234" s="81" t="str">
        <f t="shared" si="20"/>
        <v/>
      </c>
      <c r="P234" s="81" t="str">
        <f t="shared" si="21"/>
        <v/>
      </c>
      <c r="Q234" s="81" t="str">
        <f t="shared" si="22"/>
        <v/>
      </c>
    </row>
    <row r="235" spans="6:17" x14ac:dyDescent="0.25">
      <c r="F235" s="81" t="str">
        <f>IF($B235="","",IF(SUMIF(Grades!$A:$A,$B$2,Grades!$BO:$BO)=0,"-",IF(AND(VLOOKUP($B$2,Grades!$A:$BV,74,FALSE)="YES",B235&lt;Thresholds_Rates!$C$16),"-",$C235*Thresholds_Rates!$F$15)))</f>
        <v/>
      </c>
      <c r="M235" s="81" t="str">
        <f t="shared" si="18"/>
        <v/>
      </c>
      <c r="N235" s="81" t="str">
        <f t="shared" si="19"/>
        <v/>
      </c>
      <c r="O235" s="81" t="str">
        <f t="shared" si="20"/>
        <v/>
      </c>
      <c r="P235" s="81" t="str">
        <f t="shared" si="21"/>
        <v/>
      </c>
      <c r="Q235" s="81" t="str">
        <f t="shared" si="22"/>
        <v/>
      </c>
    </row>
    <row r="236" spans="6:17" x14ac:dyDescent="0.25">
      <c r="F236" s="81" t="str">
        <f>IF($B236="","",IF(SUMIF(Grades!$A:$A,$B$2,Grades!$BO:$BO)=0,"-",IF(AND(VLOOKUP($B$2,Grades!$A:$BV,74,FALSE)="YES",B236&lt;Thresholds_Rates!$C$16),"-",$C236*Thresholds_Rates!$F$15)))</f>
        <v/>
      </c>
      <c r="M236" s="81" t="str">
        <f t="shared" si="18"/>
        <v/>
      </c>
      <c r="N236" s="81" t="str">
        <f t="shared" si="19"/>
        <v/>
      </c>
      <c r="O236" s="81" t="str">
        <f t="shared" si="20"/>
        <v/>
      </c>
      <c r="P236" s="81" t="str">
        <f t="shared" si="21"/>
        <v/>
      </c>
      <c r="Q236" s="81" t="str">
        <f t="shared" si="22"/>
        <v/>
      </c>
    </row>
    <row r="237" spans="6:17" x14ac:dyDescent="0.25">
      <c r="F237" s="81" t="str">
        <f>IF($B237="","",IF(SUMIF(Grades!$A:$A,$B$2,Grades!$BO:$BO)=0,"-",IF(AND(VLOOKUP($B$2,Grades!$A:$BV,74,FALSE)="YES",B237&lt;Thresholds_Rates!$C$16),"-",$C237*Thresholds_Rates!$F$15)))</f>
        <v/>
      </c>
      <c r="M237" s="81" t="str">
        <f t="shared" si="18"/>
        <v/>
      </c>
      <c r="N237" s="81" t="str">
        <f t="shared" si="19"/>
        <v/>
      </c>
      <c r="O237" s="81" t="str">
        <f t="shared" si="20"/>
        <v/>
      </c>
      <c r="P237" s="81" t="str">
        <f t="shared" si="21"/>
        <v/>
      </c>
      <c r="Q237" s="81" t="str">
        <f t="shared" si="22"/>
        <v/>
      </c>
    </row>
    <row r="238" spans="6:17" x14ac:dyDescent="0.25">
      <c r="F238" s="81" t="str">
        <f>IF($B238="","",IF(SUMIF(Grades!$A:$A,$B$2,Grades!$BO:$BO)=0,"-",IF(AND(VLOOKUP($B$2,Grades!$A:$BV,74,FALSE)="YES",B238&lt;Thresholds_Rates!$C$16),"-",$C238*Thresholds_Rates!$F$15)))</f>
        <v/>
      </c>
      <c r="M238" s="81" t="str">
        <f t="shared" si="18"/>
        <v/>
      </c>
      <c r="N238" s="81" t="str">
        <f t="shared" si="19"/>
        <v/>
      </c>
      <c r="O238" s="81" t="str">
        <f t="shared" si="20"/>
        <v/>
      </c>
      <c r="P238" s="81" t="str">
        <f t="shared" si="21"/>
        <v/>
      </c>
      <c r="Q238" s="81" t="str">
        <f t="shared" si="22"/>
        <v/>
      </c>
    </row>
    <row r="239" spans="6:17" x14ac:dyDescent="0.25">
      <c r="F239" s="81" t="str">
        <f>IF($B239="","",IF(SUMIF(Grades!$A:$A,$B$2,Grades!$BO:$BO)=0,"-",IF(AND(VLOOKUP($B$2,Grades!$A:$BV,74,FALSE)="YES",B239&lt;Thresholds_Rates!$C$16),"-",$C239*Thresholds_Rates!$F$15)))</f>
        <v/>
      </c>
      <c r="M239" s="81" t="str">
        <f t="shared" si="18"/>
        <v/>
      </c>
      <c r="N239" s="81" t="str">
        <f t="shared" si="19"/>
        <v/>
      </c>
      <c r="O239" s="81" t="str">
        <f t="shared" si="20"/>
        <v/>
      </c>
      <c r="P239" s="81" t="str">
        <f t="shared" si="21"/>
        <v/>
      </c>
      <c r="Q239" s="81" t="str">
        <f t="shared" si="22"/>
        <v/>
      </c>
    </row>
    <row r="240" spans="6:17" x14ac:dyDescent="0.25">
      <c r="F240" s="81" t="str">
        <f>IF($B240="","",IF(SUMIF(Grades!$A:$A,$B$2,Grades!$BO:$BO)=0,"-",IF(AND(VLOOKUP($B$2,Grades!$A:$BV,74,FALSE)="YES",B240&lt;Thresholds_Rates!$C$16),"-",$C240*Thresholds_Rates!$F$15)))</f>
        <v/>
      </c>
      <c r="M240" s="81" t="str">
        <f t="shared" si="18"/>
        <v/>
      </c>
      <c r="N240" s="81" t="str">
        <f t="shared" si="19"/>
        <v/>
      </c>
      <c r="O240" s="81" t="str">
        <f t="shared" si="20"/>
        <v/>
      </c>
      <c r="P240" s="81" t="str">
        <f t="shared" si="21"/>
        <v/>
      </c>
      <c r="Q240" s="81" t="str">
        <f t="shared" si="22"/>
        <v/>
      </c>
    </row>
    <row r="241" spans="6:17" x14ac:dyDescent="0.25">
      <c r="F241" s="81" t="str">
        <f>IF($B241="","",IF(SUMIF(Grades!$A:$A,$B$2,Grades!$BO:$BO)=0,"-",IF(AND(VLOOKUP($B$2,Grades!$A:$BV,74,FALSE)="YES",B241&lt;Thresholds_Rates!$C$16),"-",$C241*Thresholds_Rates!$F$15)))</f>
        <v/>
      </c>
      <c r="M241" s="81" t="str">
        <f t="shared" si="18"/>
        <v/>
      </c>
      <c r="N241" s="81" t="str">
        <f t="shared" si="19"/>
        <v/>
      </c>
      <c r="O241" s="81" t="str">
        <f t="shared" si="20"/>
        <v/>
      </c>
      <c r="P241" s="81" t="str">
        <f t="shared" si="21"/>
        <v/>
      </c>
      <c r="Q241" s="81" t="str">
        <f t="shared" si="22"/>
        <v/>
      </c>
    </row>
    <row r="242" spans="6:17" x14ac:dyDescent="0.25">
      <c r="F242" s="81" t="str">
        <f>IF($B242="","",IF(SUMIF(Grades!$A:$A,$B$2,Grades!$BO:$BO)=0,"-",IF(AND(VLOOKUP($B$2,Grades!$A:$BV,74,FALSE)="YES",B242&lt;Thresholds_Rates!$C$16),"-",$C242*Thresholds_Rates!$F$15)))</f>
        <v/>
      </c>
      <c r="M242" s="81" t="str">
        <f t="shared" si="18"/>
        <v/>
      </c>
      <c r="N242" s="81" t="str">
        <f t="shared" si="19"/>
        <v/>
      </c>
      <c r="O242" s="81" t="str">
        <f t="shared" si="20"/>
        <v/>
      </c>
      <c r="P242" s="81" t="str">
        <f t="shared" si="21"/>
        <v/>
      </c>
      <c r="Q242" s="81" t="str">
        <f t="shared" si="22"/>
        <v/>
      </c>
    </row>
    <row r="243" spans="6:17" x14ac:dyDescent="0.25">
      <c r="F243" s="81" t="str">
        <f>IF($B243="","",IF(SUMIF(Grades!$A:$A,$B$2,Grades!$BO:$BO)=0,"-",IF(AND(VLOOKUP($B$2,Grades!$A:$BV,74,FALSE)="YES",B243&lt;Thresholds_Rates!$C$16),"-",$C243*Thresholds_Rates!$F$15)))</f>
        <v/>
      </c>
      <c r="M243" s="81" t="str">
        <f t="shared" si="18"/>
        <v/>
      </c>
      <c r="N243" s="81" t="str">
        <f t="shared" si="19"/>
        <v/>
      </c>
      <c r="O243" s="81" t="str">
        <f t="shared" si="20"/>
        <v/>
      </c>
      <c r="P243" s="81" t="str">
        <f t="shared" si="21"/>
        <v/>
      </c>
      <c r="Q243" s="81" t="str">
        <f t="shared" si="22"/>
        <v/>
      </c>
    </row>
    <row r="244" spans="6:17" x14ac:dyDescent="0.25">
      <c r="F244" s="81" t="str">
        <f>IF($B244="","",IF(SUMIF(Grades!$A:$A,$B$2,Grades!$BO:$BO)=0,"-",IF(AND(VLOOKUP($B$2,Grades!$A:$BV,74,FALSE)="YES",B244&lt;Thresholds_Rates!$C$16),"-",$C244*Thresholds_Rates!$F$15)))</f>
        <v/>
      </c>
      <c r="M244" s="81" t="str">
        <f t="shared" si="18"/>
        <v/>
      </c>
      <c r="N244" s="81" t="str">
        <f t="shared" si="19"/>
        <v/>
      </c>
      <c r="O244" s="81" t="str">
        <f t="shared" si="20"/>
        <v/>
      </c>
      <c r="P244" s="81" t="str">
        <f t="shared" si="21"/>
        <v/>
      </c>
      <c r="Q244" s="81" t="str">
        <f t="shared" si="22"/>
        <v/>
      </c>
    </row>
    <row r="245" spans="6:17" x14ac:dyDescent="0.25">
      <c r="F245" s="81" t="str">
        <f>IF($B245="","",IF(SUMIF(Grades!$A:$A,$B$2,Grades!$BO:$BO)=0,"-",IF(AND(VLOOKUP($B$2,Grades!$A:$BV,74,FALSE)="YES",B245&lt;Thresholds_Rates!$C$16),"-",$C245*Thresholds_Rates!$F$15)))</f>
        <v/>
      </c>
      <c r="M245" s="81" t="str">
        <f t="shared" si="18"/>
        <v/>
      </c>
      <c r="N245" s="81" t="str">
        <f t="shared" si="19"/>
        <v/>
      </c>
      <c r="O245" s="81" t="str">
        <f t="shared" si="20"/>
        <v/>
      </c>
      <c r="P245" s="81" t="str">
        <f t="shared" si="21"/>
        <v/>
      </c>
      <c r="Q245" s="81" t="str">
        <f t="shared" si="22"/>
        <v/>
      </c>
    </row>
    <row r="246" spans="6:17" x14ac:dyDescent="0.25">
      <c r="F246" s="81" t="str">
        <f>IF($B246="","",IF(SUMIF(Grades!$A:$A,$B$2,Grades!$BO:$BO)=0,"-",IF(AND(VLOOKUP($B$2,Grades!$A:$BV,74,FALSE)="YES",B246&lt;Thresholds_Rates!$C$16),"-",$C246*Thresholds_Rates!$F$15)))</f>
        <v/>
      </c>
      <c r="M246" s="81" t="str">
        <f t="shared" si="18"/>
        <v/>
      </c>
      <c r="N246" s="81" t="str">
        <f t="shared" si="19"/>
        <v/>
      </c>
      <c r="O246" s="81" t="str">
        <f t="shared" si="20"/>
        <v/>
      </c>
      <c r="P246" s="81" t="str">
        <f t="shared" si="21"/>
        <v/>
      </c>
      <c r="Q246" s="81" t="str">
        <f t="shared" si="22"/>
        <v/>
      </c>
    </row>
    <row r="247" spans="6:17" x14ac:dyDescent="0.25">
      <c r="F247" s="81" t="str">
        <f>IF($B247="","",IF(SUMIF(Grades!$A:$A,$B$2,Grades!$BO:$BO)=0,"-",IF(AND(VLOOKUP($B$2,Grades!$A:$BV,74,FALSE)="YES",B247&lt;Thresholds_Rates!$C$16),"-",$C247*Thresholds_Rates!$F$15)))</f>
        <v/>
      </c>
      <c r="M247" s="81" t="str">
        <f t="shared" si="18"/>
        <v/>
      </c>
      <c r="N247" s="81" t="str">
        <f t="shared" si="19"/>
        <v/>
      </c>
      <c r="O247" s="81" t="str">
        <f t="shared" si="20"/>
        <v/>
      </c>
      <c r="P247" s="81" t="str">
        <f t="shared" si="21"/>
        <v/>
      </c>
      <c r="Q247" s="81" t="str">
        <f t="shared" si="22"/>
        <v/>
      </c>
    </row>
    <row r="248" spans="6:17" x14ac:dyDescent="0.25">
      <c r="F248" s="81" t="str">
        <f>IF($B248="","",IF(SUMIF(Grades!$A:$A,$B$2,Grades!$BO:$BO)=0,"-",IF(AND(VLOOKUP($B$2,Grades!$A:$BV,74,FALSE)="YES",B248&lt;Thresholds_Rates!$C$16),"-",$C248*Thresholds_Rates!$F$15)))</f>
        <v/>
      </c>
      <c r="M248" s="81" t="str">
        <f t="shared" si="18"/>
        <v/>
      </c>
      <c r="N248" s="81" t="str">
        <f t="shared" si="19"/>
        <v/>
      </c>
      <c r="O248" s="81" t="str">
        <f t="shared" si="20"/>
        <v/>
      </c>
      <c r="P248" s="81" t="str">
        <f t="shared" si="21"/>
        <v/>
      </c>
      <c r="Q248" s="81" t="str">
        <f t="shared" si="22"/>
        <v/>
      </c>
    </row>
    <row r="249" spans="6:17" x14ac:dyDescent="0.25">
      <c r="F249" s="81" t="str">
        <f>IF($B249="","",IF(SUMIF(Grades!$A:$A,$B$2,Grades!$BO:$BO)=0,"-",IF(AND(VLOOKUP($B$2,Grades!$A:$BV,74,FALSE)="YES",B249&lt;Thresholds_Rates!$C$16),"-",$C249*Thresholds_Rates!$F$15)))</f>
        <v/>
      </c>
      <c r="M249" s="81" t="str">
        <f t="shared" si="18"/>
        <v/>
      </c>
      <c r="N249" s="81" t="str">
        <f t="shared" si="19"/>
        <v/>
      </c>
      <c r="O249" s="81" t="str">
        <f t="shared" si="20"/>
        <v/>
      </c>
      <c r="P249" s="81" t="str">
        <f t="shared" si="21"/>
        <v/>
      </c>
      <c r="Q249" s="81" t="str">
        <f t="shared" si="22"/>
        <v/>
      </c>
    </row>
    <row r="250" spans="6:17" x14ac:dyDescent="0.25">
      <c r="F250" s="81" t="str">
        <f>IF($B250="","",IF(SUMIF(Grades!$A:$A,$B$2,Grades!$BO:$BO)=0,"-",IF(AND(VLOOKUP($B$2,Grades!$A:$BV,74,FALSE)="YES",B250&lt;Thresholds_Rates!$C$16),"-",$C250*Thresholds_Rates!$F$15)))</f>
        <v/>
      </c>
      <c r="M250" s="81" t="str">
        <f t="shared" si="18"/>
        <v/>
      </c>
      <c r="N250" s="81" t="str">
        <f t="shared" si="19"/>
        <v/>
      </c>
      <c r="O250" s="81" t="str">
        <f t="shared" si="20"/>
        <v/>
      </c>
      <c r="P250" s="81" t="str">
        <f t="shared" si="21"/>
        <v/>
      </c>
      <c r="Q250" s="81" t="str">
        <f t="shared" si="22"/>
        <v/>
      </c>
    </row>
    <row r="251" spans="6:17" x14ac:dyDescent="0.25">
      <c r="F251" s="81" t="str">
        <f>IF($B251="","",IF(SUMIF(Grades!$A:$A,$B$2,Grades!$BO:$BO)=0,"-",IF(AND(VLOOKUP($B$2,Grades!$A:$BV,74,FALSE)="YES",B251&lt;Thresholds_Rates!$C$16),"-",$C251*Thresholds_Rates!$F$15)))</f>
        <v/>
      </c>
      <c r="M251" s="81" t="str">
        <f t="shared" si="18"/>
        <v/>
      </c>
      <c r="N251" s="81" t="str">
        <f t="shared" si="19"/>
        <v/>
      </c>
      <c r="O251" s="81" t="str">
        <f t="shared" si="20"/>
        <v/>
      </c>
      <c r="P251" s="81" t="str">
        <f t="shared" si="21"/>
        <v/>
      </c>
      <c r="Q251" s="81" t="str">
        <f t="shared" si="22"/>
        <v/>
      </c>
    </row>
    <row r="252" spans="6:17" x14ac:dyDescent="0.25">
      <c r="F252" s="81" t="str">
        <f>IF($B252="","",IF(SUMIF(Grades!$A:$A,$B$2,Grades!$BO:$BO)=0,"-",IF(AND(VLOOKUP($B$2,Grades!$A:$BV,74,FALSE)="YES",B252&lt;Thresholds_Rates!$C$16),"-",$C252*Thresholds_Rates!$F$15)))</f>
        <v/>
      </c>
      <c r="M252" s="81" t="str">
        <f t="shared" si="18"/>
        <v/>
      </c>
      <c r="N252" s="81" t="str">
        <f t="shared" si="19"/>
        <v/>
      </c>
      <c r="O252" s="81" t="str">
        <f t="shared" si="20"/>
        <v/>
      </c>
      <c r="P252" s="81" t="str">
        <f t="shared" si="21"/>
        <v/>
      </c>
      <c r="Q252" s="81" t="str">
        <f t="shared" si="22"/>
        <v/>
      </c>
    </row>
    <row r="253" spans="6:17" x14ac:dyDescent="0.25">
      <c r="F253" s="81" t="str">
        <f>IF($B253="","",IF(SUMIF(Grades!$A:$A,$B$2,Grades!$BO:$BO)=0,"-",IF(AND(VLOOKUP($B$2,Grades!$A:$BV,74,FALSE)="YES",B253&lt;Thresholds_Rates!$C$16),"-",$C253*Thresholds_Rates!$F$15)))</f>
        <v/>
      </c>
      <c r="M253" s="81" t="str">
        <f t="shared" si="18"/>
        <v/>
      </c>
      <c r="N253" s="81" t="str">
        <f t="shared" si="19"/>
        <v/>
      </c>
      <c r="O253" s="81" t="str">
        <f t="shared" si="20"/>
        <v/>
      </c>
      <c r="P253" s="81" t="str">
        <f t="shared" si="21"/>
        <v/>
      </c>
      <c r="Q253" s="81" t="str">
        <f t="shared" si="22"/>
        <v/>
      </c>
    </row>
    <row r="254" spans="6:17" x14ac:dyDescent="0.25">
      <c r="F254" s="81" t="str">
        <f>IF($B254="","",IF(SUMIF(Grades!$A:$A,$B$2,Grades!$BO:$BO)=0,"-",IF(AND(VLOOKUP($B$2,Grades!$A:$BV,74,FALSE)="YES",B254&lt;Thresholds_Rates!$C$16),"-",$C254*Thresholds_Rates!$F$15)))</f>
        <v/>
      </c>
      <c r="M254" s="81" t="str">
        <f t="shared" si="18"/>
        <v/>
      </c>
      <c r="N254" s="81" t="str">
        <f t="shared" si="19"/>
        <v/>
      </c>
      <c r="O254" s="81" t="str">
        <f t="shared" si="20"/>
        <v/>
      </c>
      <c r="P254" s="81" t="str">
        <f t="shared" si="21"/>
        <v/>
      </c>
      <c r="Q254" s="81" t="str">
        <f t="shared" si="22"/>
        <v/>
      </c>
    </row>
    <row r="255" spans="6:17" x14ac:dyDescent="0.25">
      <c r="F255" s="81" t="str">
        <f>IF($B255="","",IF(SUMIF(Grades!$A:$A,$B$2,Grades!$BO:$BO)=0,"-",IF(AND(VLOOKUP($B$2,Grades!$A:$BV,74,FALSE)="YES",B255&lt;Thresholds_Rates!$C$16),"-",$C255*Thresholds_Rates!$F$15)))</f>
        <v/>
      </c>
      <c r="M255" s="81" t="str">
        <f t="shared" si="18"/>
        <v/>
      </c>
      <c r="N255" s="81" t="str">
        <f t="shared" si="19"/>
        <v/>
      </c>
      <c r="O255" s="81" t="str">
        <f t="shared" si="20"/>
        <v/>
      </c>
      <c r="P255" s="81" t="str">
        <f t="shared" si="21"/>
        <v/>
      </c>
      <c r="Q255" s="81" t="str">
        <f t="shared" si="22"/>
        <v/>
      </c>
    </row>
    <row r="256" spans="6:17" x14ac:dyDescent="0.25">
      <c r="F256" s="81" t="str">
        <f>IF($B256="","",IF(SUMIF(Grades!$A:$A,$B$2,Grades!$BO:$BO)=0,"-",IF(AND(VLOOKUP($B$2,Grades!$A:$BV,74,FALSE)="YES",B256&lt;Thresholds_Rates!$C$16),"-",$C256*Thresholds_Rates!$F$15)))</f>
        <v/>
      </c>
      <c r="M256" s="81" t="str">
        <f t="shared" si="18"/>
        <v/>
      </c>
      <c r="N256" s="81" t="str">
        <f t="shared" si="19"/>
        <v/>
      </c>
      <c r="O256" s="81" t="str">
        <f t="shared" si="20"/>
        <v/>
      </c>
      <c r="P256" s="81" t="str">
        <f t="shared" si="21"/>
        <v/>
      </c>
      <c r="Q256" s="81" t="str">
        <f t="shared" si="22"/>
        <v/>
      </c>
    </row>
    <row r="257" spans="6:17" x14ac:dyDescent="0.25">
      <c r="F257" s="81" t="str">
        <f>IF($B257="","",IF(SUMIF(Grades!$A:$A,$B$2,Grades!$BO:$BO)=0,"-",IF(AND(VLOOKUP($B$2,Grades!$A:$BV,74,FALSE)="YES",B257&lt;Thresholds_Rates!$C$16),"-",$C257*Thresholds_Rates!$F$15)))</f>
        <v/>
      </c>
      <c r="M257" s="81" t="str">
        <f t="shared" si="18"/>
        <v/>
      </c>
      <c r="N257" s="81" t="str">
        <f t="shared" si="19"/>
        <v/>
      </c>
      <c r="O257" s="81" t="str">
        <f t="shared" si="20"/>
        <v/>
      </c>
      <c r="P257" s="81" t="str">
        <f t="shared" si="21"/>
        <v/>
      </c>
      <c r="Q257" s="81" t="str">
        <f t="shared" si="22"/>
        <v/>
      </c>
    </row>
    <row r="258" spans="6:17" x14ac:dyDescent="0.25">
      <c r="F258" s="81" t="str">
        <f>IF($B258="","",IF(SUMIF(Grades!$A:$A,$B$2,Grades!$BO:$BO)=0,"-",IF(AND(VLOOKUP($B$2,Grades!$A:$BV,74,FALSE)="YES",B258&lt;Thresholds_Rates!$C$16),"-",$C258*Thresholds_Rates!$F$15)))</f>
        <v/>
      </c>
      <c r="M258" s="81" t="str">
        <f t="shared" si="18"/>
        <v/>
      </c>
      <c r="N258" s="81" t="str">
        <f t="shared" si="19"/>
        <v/>
      </c>
      <c r="O258" s="81" t="str">
        <f t="shared" si="20"/>
        <v/>
      </c>
      <c r="P258" s="81" t="str">
        <f t="shared" si="21"/>
        <v/>
      </c>
      <c r="Q258" s="81" t="str">
        <f t="shared" si="22"/>
        <v/>
      </c>
    </row>
    <row r="259" spans="6:17" x14ac:dyDescent="0.25">
      <c r="F259" s="81" t="str">
        <f>IF($B259="","",IF(SUMIF(Grades!$A:$A,$B$2,Grades!$BO:$BO)=0,"-",IF(AND(VLOOKUP($B$2,Grades!$A:$BV,74,FALSE)="YES",B259&lt;Thresholds_Rates!$C$16),"-",$C259*Thresholds_Rates!$F$15)))</f>
        <v/>
      </c>
      <c r="M259" s="81" t="str">
        <f t="shared" si="18"/>
        <v/>
      </c>
      <c r="N259" s="81" t="str">
        <f t="shared" si="19"/>
        <v/>
      </c>
      <c r="O259" s="81" t="str">
        <f t="shared" si="20"/>
        <v/>
      </c>
      <c r="P259" s="81" t="str">
        <f t="shared" si="21"/>
        <v/>
      </c>
      <c r="Q259" s="81" t="str">
        <f t="shared" si="22"/>
        <v/>
      </c>
    </row>
    <row r="260" spans="6:17" x14ac:dyDescent="0.25">
      <c r="F260" s="81" t="str">
        <f>IF($B260="","",IF(SUMIF(Grades!$A:$A,$B$2,Grades!$BO:$BO)=0,"-",IF(AND(VLOOKUP($B$2,Grades!$A:$BV,74,FALSE)="YES",B260&lt;Thresholds_Rates!$C$16),"-",$C260*Thresholds_Rates!$F$15)))</f>
        <v/>
      </c>
      <c r="M260" s="81" t="str">
        <f t="shared" si="18"/>
        <v/>
      </c>
      <c r="N260" s="81" t="str">
        <f t="shared" si="19"/>
        <v/>
      </c>
      <c r="O260" s="81" t="str">
        <f t="shared" si="20"/>
        <v/>
      </c>
      <c r="P260" s="81" t="str">
        <f t="shared" si="21"/>
        <v/>
      </c>
      <c r="Q260" s="81" t="str">
        <f t="shared" si="22"/>
        <v/>
      </c>
    </row>
    <row r="261" spans="6:17" x14ac:dyDescent="0.25">
      <c r="F261" s="81" t="str">
        <f>IF($B261="","",IF(SUMIF(Grades!$A:$A,$B$2,Grades!$BO:$BO)=0,"-",IF(AND(VLOOKUP($B$2,Grades!$A:$BV,74,FALSE)="YES",B261&lt;Thresholds_Rates!$C$16),"-",$C261*Thresholds_Rates!$F$15)))</f>
        <v/>
      </c>
      <c r="M261" s="81" t="str">
        <f t="shared" si="18"/>
        <v/>
      </c>
      <c r="N261" s="81" t="str">
        <f t="shared" si="19"/>
        <v/>
      </c>
      <c r="O261" s="81" t="str">
        <f t="shared" si="20"/>
        <v/>
      </c>
      <c r="P261" s="81" t="str">
        <f t="shared" si="21"/>
        <v/>
      </c>
      <c r="Q261" s="81" t="str">
        <f t="shared" si="22"/>
        <v/>
      </c>
    </row>
    <row r="262" spans="6:17" x14ac:dyDescent="0.25">
      <c r="F262" s="81" t="str">
        <f>IF($B262="","",IF(SUMIF(Grades!$A:$A,$B$2,Grades!$BO:$BO)=0,"-",IF(AND(VLOOKUP($B$2,Grades!$A:$BV,74,FALSE)="YES",B262&lt;Thresholds_Rates!$C$16),"-",$C262*Thresholds_Rates!$F$15)))</f>
        <v/>
      </c>
      <c r="M262" s="81" t="str">
        <f t="shared" si="18"/>
        <v/>
      </c>
      <c r="N262" s="81" t="str">
        <f t="shared" si="19"/>
        <v/>
      </c>
      <c r="O262" s="81" t="str">
        <f t="shared" si="20"/>
        <v/>
      </c>
      <c r="P262" s="81" t="str">
        <f t="shared" si="21"/>
        <v/>
      </c>
      <c r="Q262" s="81" t="str">
        <f t="shared" si="22"/>
        <v/>
      </c>
    </row>
    <row r="263" spans="6:17" x14ac:dyDescent="0.25">
      <c r="F263" s="81" t="str">
        <f>IF($B263="","",IF(SUMIF(Grades!$A:$A,$B$2,Grades!$BO:$BO)=0,"-",IF(AND(VLOOKUP($B$2,Grades!$A:$BV,74,FALSE)="YES",B263&lt;Thresholds_Rates!$C$16),"-",$C263*Thresholds_Rates!$F$15)))</f>
        <v/>
      </c>
      <c r="M263" s="81" t="str">
        <f t="shared" si="18"/>
        <v/>
      </c>
      <c r="N263" s="81" t="str">
        <f t="shared" si="19"/>
        <v/>
      </c>
      <c r="O263" s="81" t="str">
        <f t="shared" si="20"/>
        <v/>
      </c>
      <c r="P263" s="81" t="str">
        <f t="shared" si="21"/>
        <v/>
      </c>
      <c r="Q263" s="81" t="str">
        <f t="shared" si="22"/>
        <v/>
      </c>
    </row>
    <row r="264" spans="6:17" x14ac:dyDescent="0.25">
      <c r="F264" s="81" t="str">
        <f>IF($B264="","",IF(SUMIF(Grades!$A:$A,$B$2,Grades!$BO:$BO)=0,"-",IF(AND(VLOOKUP($B$2,Grades!$A:$BV,74,FALSE)="YES",B264&lt;Thresholds_Rates!$C$16),"-",$C264*Thresholds_Rates!$F$15)))</f>
        <v/>
      </c>
      <c r="M264" s="81" t="str">
        <f t="shared" ref="M264:M301" si="23">IF(B264="","",IF(F264="-","-",$C264+$I264+F264+J264))</f>
        <v/>
      </c>
      <c r="N264" s="81" t="str">
        <f t="shared" ref="N264:N301" si="24">IF(B264="","",IF(G264="-","-",$C264+$I264+G264+J264))</f>
        <v/>
      </c>
      <c r="O264" s="81" t="str">
        <f t="shared" ref="O264:O301" si="25">IF(B264="","",IF(H264="-","-",$C264+$I264+H264+J264))</f>
        <v/>
      </c>
      <c r="P264" s="81" t="str">
        <f t="shared" ref="P264:P301" si="26">IF(B264="","",IF(K264="-","-",$C264+$I264+K264+J264))</f>
        <v/>
      </c>
      <c r="Q264" s="81" t="str">
        <f t="shared" ref="Q264:Q301" si="27">IF(B264="","",C264+I264+J264)</f>
        <v/>
      </c>
    </row>
    <row r="265" spans="6:17" x14ac:dyDescent="0.25">
      <c r="F265" s="81" t="str">
        <f>IF($B265="","",IF(SUMIF(Grades!$A:$A,$B$2,Grades!$BO:$BO)=0,"-",IF(AND(VLOOKUP($B$2,Grades!$A:$BV,74,FALSE)="YES",B265&lt;Thresholds_Rates!$C$16),"-",$C265*Thresholds_Rates!$F$15)))</f>
        <v/>
      </c>
      <c r="M265" s="81" t="str">
        <f t="shared" si="23"/>
        <v/>
      </c>
      <c r="N265" s="81" t="str">
        <f t="shared" si="24"/>
        <v/>
      </c>
      <c r="O265" s="81" t="str">
        <f t="shared" si="25"/>
        <v/>
      </c>
      <c r="P265" s="81" t="str">
        <f t="shared" si="26"/>
        <v/>
      </c>
      <c r="Q265" s="81" t="str">
        <f t="shared" si="27"/>
        <v/>
      </c>
    </row>
    <row r="266" spans="6:17" x14ac:dyDescent="0.25">
      <c r="F266" s="81" t="str">
        <f>IF($B266="","",IF(SUMIF(Grades!$A:$A,$B$2,Grades!$BO:$BO)=0,"-",IF(AND(VLOOKUP($B$2,Grades!$A:$BV,74,FALSE)="YES",B266&lt;Thresholds_Rates!$C$16),"-",$C266*Thresholds_Rates!$F$15)))</f>
        <v/>
      </c>
      <c r="M266" s="81" t="str">
        <f t="shared" si="23"/>
        <v/>
      </c>
      <c r="N266" s="81" t="str">
        <f t="shared" si="24"/>
        <v/>
      </c>
      <c r="O266" s="81" t="str">
        <f t="shared" si="25"/>
        <v/>
      </c>
      <c r="P266" s="81" t="str">
        <f t="shared" si="26"/>
        <v/>
      </c>
      <c r="Q266" s="81" t="str">
        <f t="shared" si="27"/>
        <v/>
      </c>
    </row>
    <row r="267" spans="6:17" x14ac:dyDescent="0.25">
      <c r="F267" s="81" t="str">
        <f>IF($B267="","",IF(SUMIF(Grades!$A:$A,$B$2,Grades!$BO:$BO)=0,"-",IF(AND(VLOOKUP($B$2,Grades!$A:$BV,74,FALSE)="YES",B267&lt;Thresholds_Rates!$C$16),"-",$C267*Thresholds_Rates!$F$15)))</f>
        <v/>
      </c>
      <c r="M267" s="81" t="str">
        <f t="shared" si="23"/>
        <v/>
      </c>
      <c r="N267" s="81" t="str">
        <f t="shared" si="24"/>
        <v/>
      </c>
      <c r="O267" s="81" t="str">
        <f t="shared" si="25"/>
        <v/>
      </c>
      <c r="P267" s="81" t="str">
        <f t="shared" si="26"/>
        <v/>
      </c>
      <c r="Q267" s="81" t="str">
        <f t="shared" si="27"/>
        <v/>
      </c>
    </row>
    <row r="268" spans="6:17" x14ac:dyDescent="0.25">
      <c r="F268" s="81" t="str">
        <f>IF($B268="","",IF(SUMIF(Grades!$A:$A,$B$2,Grades!$BO:$BO)=0,"-",IF(AND(VLOOKUP($B$2,Grades!$A:$BV,74,FALSE)="YES",B268&lt;Thresholds_Rates!$C$16),"-",$C268*Thresholds_Rates!$F$15)))</f>
        <v/>
      </c>
      <c r="M268" s="81" t="str">
        <f t="shared" si="23"/>
        <v/>
      </c>
      <c r="N268" s="81" t="str">
        <f t="shared" si="24"/>
        <v/>
      </c>
      <c r="O268" s="81" t="str">
        <f t="shared" si="25"/>
        <v/>
      </c>
      <c r="P268" s="81" t="str">
        <f t="shared" si="26"/>
        <v/>
      </c>
      <c r="Q268" s="81" t="str">
        <f t="shared" si="27"/>
        <v/>
      </c>
    </row>
    <row r="269" spans="6:17" x14ac:dyDescent="0.25">
      <c r="F269" s="81" t="str">
        <f>IF($B269="","",IF(SUMIF(Grades!$A:$A,$B$2,Grades!$BO:$BO)=0,"-",IF(AND(VLOOKUP($B$2,Grades!$A:$BV,74,FALSE)="YES",B269&lt;Thresholds_Rates!$C$16),"-",$C269*Thresholds_Rates!$F$15)))</f>
        <v/>
      </c>
      <c r="M269" s="81" t="str">
        <f t="shared" si="23"/>
        <v/>
      </c>
      <c r="N269" s="81" t="str">
        <f t="shared" si="24"/>
        <v/>
      </c>
      <c r="O269" s="81" t="str">
        <f t="shared" si="25"/>
        <v/>
      </c>
      <c r="P269" s="81" t="str">
        <f t="shared" si="26"/>
        <v/>
      </c>
      <c r="Q269" s="81" t="str">
        <f t="shared" si="27"/>
        <v/>
      </c>
    </row>
    <row r="270" spans="6:17" x14ac:dyDescent="0.25">
      <c r="F270" s="81" t="str">
        <f>IF($B270="","",IF(SUMIF(Grades!$A:$A,$B$2,Grades!$BO:$BO)=0,"-",IF(AND(VLOOKUP($B$2,Grades!$A:$BV,74,FALSE)="YES",B270&lt;Thresholds_Rates!$C$16),"-",$C270*Thresholds_Rates!$F$15)))</f>
        <v/>
      </c>
      <c r="M270" s="81" t="str">
        <f t="shared" si="23"/>
        <v/>
      </c>
      <c r="N270" s="81" t="str">
        <f t="shared" si="24"/>
        <v/>
      </c>
      <c r="O270" s="81" t="str">
        <f t="shared" si="25"/>
        <v/>
      </c>
      <c r="P270" s="81" t="str">
        <f t="shared" si="26"/>
        <v/>
      </c>
      <c r="Q270" s="81" t="str">
        <f t="shared" si="27"/>
        <v/>
      </c>
    </row>
    <row r="271" spans="6:17" x14ac:dyDescent="0.25">
      <c r="F271" s="81" t="str">
        <f>IF($B271="","",IF(SUMIF(Grades!$A:$A,$B$2,Grades!$BO:$BO)=0,"-",IF(AND(VLOOKUP($B$2,Grades!$A:$BV,74,FALSE)="YES",B271&lt;Thresholds_Rates!$C$16),"-",$C271*Thresholds_Rates!$F$15)))</f>
        <v/>
      </c>
      <c r="M271" s="81" t="str">
        <f t="shared" si="23"/>
        <v/>
      </c>
      <c r="N271" s="81" t="str">
        <f t="shared" si="24"/>
        <v/>
      </c>
      <c r="O271" s="81" t="str">
        <f t="shared" si="25"/>
        <v/>
      </c>
      <c r="P271" s="81" t="str">
        <f t="shared" si="26"/>
        <v/>
      </c>
      <c r="Q271" s="81" t="str">
        <f t="shared" si="27"/>
        <v/>
      </c>
    </row>
    <row r="272" spans="6:17" x14ac:dyDescent="0.25">
      <c r="F272" s="81" t="str">
        <f>IF($B272="","",IF(SUMIF(Grades!$A:$A,$B$2,Grades!$BO:$BO)=0,"-",IF(AND(VLOOKUP($B$2,Grades!$A:$BV,74,FALSE)="YES",B272&lt;Thresholds_Rates!$C$16),"-",$C272*Thresholds_Rates!$F$15)))</f>
        <v/>
      </c>
      <c r="M272" s="81" t="str">
        <f t="shared" si="23"/>
        <v/>
      </c>
      <c r="N272" s="81" t="str">
        <f t="shared" si="24"/>
        <v/>
      </c>
      <c r="O272" s="81" t="str">
        <f t="shared" si="25"/>
        <v/>
      </c>
      <c r="P272" s="81" t="str">
        <f t="shared" si="26"/>
        <v/>
      </c>
      <c r="Q272" s="81" t="str">
        <f t="shared" si="27"/>
        <v/>
      </c>
    </row>
    <row r="273" spans="6:17" x14ac:dyDescent="0.25">
      <c r="F273" s="81" t="str">
        <f>IF($B273="","",IF(SUMIF(Grades!$A:$A,$B$2,Grades!$BO:$BO)=0,"-",IF(AND(VLOOKUP($B$2,Grades!$A:$BV,74,FALSE)="YES",B273&lt;Thresholds_Rates!$C$16),"-",$C273*Thresholds_Rates!$F$15)))</f>
        <v/>
      </c>
      <c r="M273" s="81" t="str">
        <f t="shared" si="23"/>
        <v/>
      </c>
      <c r="N273" s="81" t="str">
        <f t="shared" si="24"/>
        <v/>
      </c>
      <c r="O273" s="81" t="str">
        <f t="shared" si="25"/>
        <v/>
      </c>
      <c r="P273" s="81" t="str">
        <f t="shared" si="26"/>
        <v/>
      </c>
      <c r="Q273" s="81" t="str">
        <f t="shared" si="27"/>
        <v/>
      </c>
    </row>
    <row r="274" spans="6:17" x14ac:dyDescent="0.25">
      <c r="F274" s="81" t="str">
        <f>IF($B274="","",IF(SUMIF(Grades!$A:$A,$B$2,Grades!$BO:$BO)=0,"-",IF(AND(VLOOKUP($B$2,Grades!$A:$BV,74,FALSE)="YES",B274&lt;Thresholds_Rates!$C$16),"-",$C274*Thresholds_Rates!$F$15)))</f>
        <v/>
      </c>
      <c r="M274" s="81" t="str">
        <f t="shared" si="23"/>
        <v/>
      </c>
      <c r="N274" s="81" t="str">
        <f t="shared" si="24"/>
        <v/>
      </c>
      <c r="O274" s="81" t="str">
        <f t="shared" si="25"/>
        <v/>
      </c>
      <c r="P274" s="81" t="str">
        <f t="shared" si="26"/>
        <v/>
      </c>
      <c r="Q274" s="81" t="str">
        <f t="shared" si="27"/>
        <v/>
      </c>
    </row>
    <row r="275" spans="6:17" x14ac:dyDescent="0.25">
      <c r="F275" s="81" t="str">
        <f>IF($B275="","",IF(SUMIF(Grades!$A:$A,$B$2,Grades!$BO:$BO)=0,"-",IF(AND(VLOOKUP($B$2,Grades!$A:$BV,74,FALSE)="YES",B275&lt;Thresholds_Rates!$C$16),"-",$C275*Thresholds_Rates!$F$15)))</f>
        <v/>
      </c>
      <c r="M275" s="81" t="str">
        <f t="shared" si="23"/>
        <v/>
      </c>
      <c r="N275" s="81" t="str">
        <f t="shared" si="24"/>
        <v/>
      </c>
      <c r="O275" s="81" t="str">
        <f t="shared" si="25"/>
        <v/>
      </c>
      <c r="P275" s="81" t="str">
        <f t="shared" si="26"/>
        <v/>
      </c>
      <c r="Q275" s="81" t="str">
        <f t="shared" si="27"/>
        <v/>
      </c>
    </row>
    <row r="276" spans="6:17" x14ac:dyDescent="0.25">
      <c r="F276" s="81" t="str">
        <f>IF($B276="","",IF(SUMIF(Grades!$A:$A,$B$2,Grades!$BO:$BO)=0,"-",IF(AND(VLOOKUP($B$2,Grades!$A:$BV,74,FALSE)="YES",B276&lt;Thresholds_Rates!$C$16),"-",$C276*Thresholds_Rates!$F$15)))</f>
        <v/>
      </c>
      <c r="M276" s="81" t="str">
        <f t="shared" si="23"/>
        <v/>
      </c>
      <c r="N276" s="81" t="str">
        <f t="shared" si="24"/>
        <v/>
      </c>
      <c r="O276" s="81" t="str">
        <f t="shared" si="25"/>
        <v/>
      </c>
      <c r="P276" s="81" t="str">
        <f t="shared" si="26"/>
        <v/>
      </c>
      <c r="Q276" s="81" t="str">
        <f t="shared" si="27"/>
        <v/>
      </c>
    </row>
    <row r="277" spans="6:17" x14ac:dyDescent="0.25">
      <c r="F277" s="81" t="str">
        <f>IF($B277="","",IF(SUMIF(Grades!$A:$A,$B$2,Grades!$BO:$BO)=0,"-",IF(AND(VLOOKUP($B$2,Grades!$A:$BV,74,FALSE)="YES",B277&lt;Thresholds_Rates!$C$16),"-",$C277*Thresholds_Rates!$F$15)))</f>
        <v/>
      </c>
      <c r="M277" s="81" t="str">
        <f t="shared" si="23"/>
        <v/>
      </c>
      <c r="N277" s="81" t="str">
        <f t="shared" si="24"/>
        <v/>
      </c>
      <c r="O277" s="81" t="str">
        <f t="shared" si="25"/>
        <v/>
      </c>
      <c r="P277" s="81" t="str">
        <f t="shared" si="26"/>
        <v/>
      </c>
      <c r="Q277" s="81" t="str">
        <f t="shared" si="27"/>
        <v/>
      </c>
    </row>
    <row r="278" spans="6:17" x14ac:dyDescent="0.25">
      <c r="F278" s="81" t="str">
        <f>IF($B278="","",IF(SUMIF(Grades!$A:$A,$B$2,Grades!$BO:$BO)=0,"-",IF(AND(VLOOKUP($B$2,Grades!$A:$BV,74,FALSE)="YES",B278&lt;Thresholds_Rates!$C$16),"-",$C278*Thresholds_Rates!$F$15)))</f>
        <v/>
      </c>
      <c r="M278" s="81" t="str">
        <f t="shared" si="23"/>
        <v/>
      </c>
      <c r="N278" s="81" t="str">
        <f t="shared" si="24"/>
        <v/>
      </c>
      <c r="O278" s="81" t="str">
        <f t="shared" si="25"/>
        <v/>
      </c>
      <c r="P278" s="81" t="str">
        <f t="shared" si="26"/>
        <v/>
      </c>
      <c r="Q278" s="81" t="str">
        <f t="shared" si="27"/>
        <v/>
      </c>
    </row>
    <row r="279" spans="6:17" x14ac:dyDescent="0.25">
      <c r="F279" s="81" t="str">
        <f>IF($B279="","",IF(SUMIF(Grades!$A:$A,$B$2,Grades!$BO:$BO)=0,"-",IF(AND(VLOOKUP($B$2,Grades!$A:$BV,74,FALSE)="YES",B279&lt;Thresholds_Rates!$C$16),"-",$C279*Thresholds_Rates!$F$15)))</f>
        <v/>
      </c>
      <c r="M279" s="81" t="str">
        <f t="shared" si="23"/>
        <v/>
      </c>
      <c r="N279" s="81" t="str">
        <f t="shared" si="24"/>
        <v/>
      </c>
      <c r="O279" s="81" t="str">
        <f t="shared" si="25"/>
        <v/>
      </c>
      <c r="P279" s="81" t="str">
        <f t="shared" si="26"/>
        <v/>
      </c>
      <c r="Q279" s="81" t="str">
        <f t="shared" si="27"/>
        <v/>
      </c>
    </row>
    <row r="280" spans="6:17" x14ac:dyDescent="0.25">
      <c r="F280" s="81" t="str">
        <f>IF($B280="","",IF(SUMIF(Grades!$A:$A,$B$2,Grades!$BO:$BO)=0,"-",IF(AND(VLOOKUP($B$2,Grades!$A:$BV,74,FALSE)="YES",B280&lt;Thresholds_Rates!$C$16),"-",$C280*Thresholds_Rates!$F$15)))</f>
        <v/>
      </c>
      <c r="M280" s="81" t="str">
        <f t="shared" si="23"/>
        <v/>
      </c>
      <c r="N280" s="81" t="str">
        <f t="shared" si="24"/>
        <v/>
      </c>
      <c r="O280" s="81" t="str">
        <f t="shared" si="25"/>
        <v/>
      </c>
      <c r="P280" s="81" t="str">
        <f t="shared" si="26"/>
        <v/>
      </c>
      <c r="Q280" s="81" t="str">
        <f t="shared" si="27"/>
        <v/>
      </c>
    </row>
    <row r="281" spans="6:17" x14ac:dyDescent="0.25">
      <c r="F281" s="81" t="str">
        <f>IF($B281="","",IF(SUMIF(Grades!$A:$A,$B$2,Grades!$BO:$BO)=0,"-",IF(AND(VLOOKUP($B$2,Grades!$A:$BV,74,FALSE)="YES",B281&lt;Thresholds_Rates!$C$16),"-",$C281*Thresholds_Rates!$F$15)))</f>
        <v/>
      </c>
      <c r="M281" s="81" t="str">
        <f t="shared" si="23"/>
        <v/>
      </c>
      <c r="N281" s="81" t="str">
        <f t="shared" si="24"/>
        <v/>
      </c>
      <c r="O281" s="81" t="str">
        <f t="shared" si="25"/>
        <v/>
      </c>
      <c r="P281" s="81" t="str">
        <f t="shared" si="26"/>
        <v/>
      </c>
      <c r="Q281" s="81" t="str">
        <f t="shared" si="27"/>
        <v/>
      </c>
    </row>
    <row r="282" spans="6:17" x14ac:dyDescent="0.25">
      <c r="F282" s="81" t="str">
        <f>IF($B282="","",IF(SUMIF(Grades!$A:$A,$B$2,Grades!$BO:$BO)=0,"-",IF(AND(VLOOKUP($B$2,Grades!$A:$BV,74,FALSE)="YES",B282&lt;Thresholds_Rates!$C$16),"-",$C282*Thresholds_Rates!$F$15)))</f>
        <v/>
      </c>
      <c r="M282" s="81" t="str">
        <f t="shared" si="23"/>
        <v/>
      </c>
      <c r="N282" s="81" t="str">
        <f t="shared" si="24"/>
        <v/>
      </c>
      <c r="O282" s="81" t="str">
        <f t="shared" si="25"/>
        <v/>
      </c>
      <c r="P282" s="81" t="str">
        <f t="shared" si="26"/>
        <v/>
      </c>
      <c r="Q282" s="81" t="str">
        <f t="shared" si="27"/>
        <v/>
      </c>
    </row>
    <row r="283" spans="6:17" x14ac:dyDescent="0.25">
      <c r="F283" s="81" t="str">
        <f>IF($B283="","",IF(SUMIF(Grades!$A:$A,$B$2,Grades!$BO:$BO)=0,"-",IF(AND(VLOOKUP($B$2,Grades!$A:$BV,74,FALSE)="YES",B283&lt;Thresholds_Rates!$C$16),"-",$C283*Thresholds_Rates!$F$15)))</f>
        <v/>
      </c>
      <c r="M283" s="81" t="str">
        <f t="shared" si="23"/>
        <v/>
      </c>
      <c r="N283" s="81" t="str">
        <f t="shared" si="24"/>
        <v/>
      </c>
      <c r="O283" s="81" t="str">
        <f t="shared" si="25"/>
        <v/>
      </c>
      <c r="P283" s="81" t="str">
        <f t="shared" si="26"/>
        <v/>
      </c>
      <c r="Q283" s="81" t="str">
        <f t="shared" si="27"/>
        <v/>
      </c>
    </row>
    <row r="284" spans="6:17" x14ac:dyDescent="0.25">
      <c r="F284" s="81" t="str">
        <f>IF($B284="","",IF(SUMIF(Grades!$A:$A,$B$2,Grades!$BO:$BO)=0,"-",IF(AND(VLOOKUP($B$2,Grades!$A:$BV,74,FALSE)="YES",B284&lt;Thresholds_Rates!$C$16),"-",$C284*Thresholds_Rates!$F$15)))</f>
        <v/>
      </c>
      <c r="M284" s="81" t="str">
        <f t="shared" si="23"/>
        <v/>
      </c>
      <c r="N284" s="81" t="str">
        <f t="shared" si="24"/>
        <v/>
      </c>
      <c r="O284" s="81" t="str">
        <f t="shared" si="25"/>
        <v/>
      </c>
      <c r="P284" s="81" t="str">
        <f t="shared" si="26"/>
        <v/>
      </c>
      <c r="Q284" s="81" t="str">
        <f t="shared" si="27"/>
        <v/>
      </c>
    </row>
    <row r="285" spans="6:17" x14ac:dyDescent="0.25">
      <c r="F285" s="81" t="str">
        <f>IF($B285="","",IF(SUMIF(Grades!$A:$A,$B$2,Grades!$BO:$BO)=0,"-",IF(AND(VLOOKUP($B$2,Grades!$A:$BV,74,FALSE)="YES",B285&lt;Thresholds_Rates!$C$16),"-",$C285*Thresholds_Rates!$F$15)))</f>
        <v/>
      </c>
      <c r="M285" s="81" t="str">
        <f t="shared" si="23"/>
        <v/>
      </c>
      <c r="N285" s="81" t="str">
        <f t="shared" si="24"/>
        <v/>
      </c>
      <c r="O285" s="81" t="str">
        <f t="shared" si="25"/>
        <v/>
      </c>
      <c r="P285" s="81" t="str">
        <f t="shared" si="26"/>
        <v/>
      </c>
      <c r="Q285" s="81" t="str">
        <f t="shared" si="27"/>
        <v/>
      </c>
    </row>
    <row r="286" spans="6:17" x14ac:dyDescent="0.25">
      <c r="F286" s="81" t="str">
        <f>IF($B286="","",IF(SUMIF(Grades!$A:$A,$B$2,Grades!$BO:$BO)=0,"-",IF(AND(VLOOKUP($B$2,Grades!$A:$BV,74,FALSE)="YES",B286&lt;Thresholds_Rates!$C$16),"-",$C286*Thresholds_Rates!$F$15)))</f>
        <v/>
      </c>
      <c r="M286" s="81" t="str">
        <f t="shared" si="23"/>
        <v/>
      </c>
      <c r="N286" s="81" t="str">
        <f t="shared" si="24"/>
        <v/>
      </c>
      <c r="O286" s="81" t="str">
        <f t="shared" si="25"/>
        <v/>
      </c>
      <c r="P286" s="81" t="str">
        <f t="shared" si="26"/>
        <v/>
      </c>
      <c r="Q286" s="81" t="str">
        <f t="shared" si="27"/>
        <v/>
      </c>
    </row>
    <row r="287" spans="6:17" x14ac:dyDescent="0.25">
      <c r="F287" s="81" t="str">
        <f>IF($B287="","",IF(SUMIF(Grades!$A:$A,$B$2,Grades!$BO:$BO)=0,"-",IF(AND(VLOOKUP($B$2,Grades!$A:$BV,74,FALSE)="YES",B287&lt;Thresholds_Rates!$C$16),"-",$C287*Thresholds_Rates!$F$15)))</f>
        <v/>
      </c>
      <c r="M287" s="81" t="str">
        <f t="shared" si="23"/>
        <v/>
      </c>
      <c r="N287" s="81" t="str">
        <f t="shared" si="24"/>
        <v/>
      </c>
      <c r="O287" s="81" t="str">
        <f t="shared" si="25"/>
        <v/>
      </c>
      <c r="P287" s="81" t="str">
        <f t="shared" si="26"/>
        <v/>
      </c>
      <c r="Q287" s="81" t="str">
        <f t="shared" si="27"/>
        <v/>
      </c>
    </row>
    <row r="288" spans="6:17" x14ac:dyDescent="0.25">
      <c r="F288" s="81" t="str">
        <f>IF($B288="","",IF(SUMIF(Grades!$A:$A,$B$2,Grades!$BO:$BO)=0,"-",IF(AND(VLOOKUP($B$2,Grades!$A:$BV,74,FALSE)="YES",B288&lt;Thresholds_Rates!$C$16),"-",$C288*Thresholds_Rates!$F$15)))</f>
        <v/>
      </c>
      <c r="M288" s="81" t="str">
        <f t="shared" si="23"/>
        <v/>
      </c>
      <c r="N288" s="81" t="str">
        <f t="shared" si="24"/>
        <v/>
      </c>
      <c r="O288" s="81" t="str">
        <f t="shared" si="25"/>
        <v/>
      </c>
      <c r="P288" s="81" t="str">
        <f t="shared" si="26"/>
        <v/>
      </c>
      <c r="Q288" s="81" t="str">
        <f t="shared" si="27"/>
        <v/>
      </c>
    </row>
    <row r="289" spans="6:17" x14ac:dyDescent="0.25">
      <c r="F289" s="81" t="str">
        <f>IF($B289="","",IF(SUMIF(Grades!$A:$A,$B$2,Grades!$BO:$BO)=0,"-",IF(AND(VLOOKUP($B$2,Grades!$A:$BV,74,FALSE)="YES",B289&lt;Thresholds_Rates!$C$16),"-",$C289*Thresholds_Rates!$F$15)))</f>
        <v/>
      </c>
      <c r="M289" s="81" t="str">
        <f t="shared" si="23"/>
        <v/>
      </c>
      <c r="N289" s="81" t="str">
        <f t="shared" si="24"/>
        <v/>
      </c>
      <c r="O289" s="81" t="str">
        <f t="shared" si="25"/>
        <v/>
      </c>
      <c r="P289" s="81" t="str">
        <f t="shared" si="26"/>
        <v/>
      </c>
      <c r="Q289" s="81" t="str">
        <f t="shared" si="27"/>
        <v/>
      </c>
    </row>
    <row r="290" spans="6:17" x14ac:dyDescent="0.25">
      <c r="F290" s="81" t="str">
        <f>IF($B290="","",IF(SUMIF(Grades!$A:$A,$B$2,Grades!$BO:$BO)=0,"-",IF(AND(VLOOKUP($B$2,Grades!$A:$BV,74,FALSE)="YES",B290&lt;Thresholds_Rates!$C$16),"-",$C290*Thresholds_Rates!$F$15)))</f>
        <v/>
      </c>
      <c r="M290" s="81" t="str">
        <f t="shared" si="23"/>
        <v/>
      </c>
      <c r="N290" s="81" t="str">
        <f t="shared" si="24"/>
        <v/>
      </c>
      <c r="O290" s="81" t="str">
        <f t="shared" si="25"/>
        <v/>
      </c>
      <c r="P290" s="81" t="str">
        <f t="shared" si="26"/>
        <v/>
      </c>
      <c r="Q290" s="81" t="str">
        <f t="shared" si="27"/>
        <v/>
      </c>
    </row>
    <row r="291" spans="6:17" x14ac:dyDescent="0.25">
      <c r="F291" s="81" t="str">
        <f>IF($B291="","",IF(SUMIF(Grades!$A:$A,$B$2,Grades!$BO:$BO)=0,"-",IF(AND(VLOOKUP($B$2,Grades!$A:$BV,74,FALSE)="YES",B291&lt;Thresholds_Rates!$C$16),"-",$C291*Thresholds_Rates!$F$15)))</f>
        <v/>
      </c>
      <c r="M291" s="81" t="str">
        <f t="shared" si="23"/>
        <v/>
      </c>
      <c r="N291" s="81" t="str">
        <f t="shared" si="24"/>
        <v/>
      </c>
      <c r="O291" s="81" t="str">
        <f t="shared" si="25"/>
        <v/>
      </c>
      <c r="P291" s="81" t="str">
        <f t="shared" si="26"/>
        <v/>
      </c>
      <c r="Q291" s="81" t="str">
        <f t="shared" si="27"/>
        <v/>
      </c>
    </row>
    <row r="292" spans="6:17" x14ac:dyDescent="0.25">
      <c r="F292" s="81" t="str">
        <f>IF($B292="","",IF(SUMIF(Grades!$A:$A,$B$2,Grades!$BO:$BO)=0,"-",IF(AND(VLOOKUP($B$2,Grades!$A:$BV,74,FALSE)="YES",B292&lt;Thresholds_Rates!$C$16),"-",$C292*Thresholds_Rates!$F$15)))</f>
        <v/>
      </c>
      <c r="M292" s="81" t="str">
        <f t="shared" si="23"/>
        <v/>
      </c>
      <c r="N292" s="81" t="str">
        <f t="shared" si="24"/>
        <v/>
      </c>
      <c r="O292" s="81" t="str">
        <f t="shared" si="25"/>
        <v/>
      </c>
      <c r="P292" s="81" t="str">
        <f t="shared" si="26"/>
        <v/>
      </c>
      <c r="Q292" s="81" t="str">
        <f t="shared" si="27"/>
        <v/>
      </c>
    </row>
    <row r="293" spans="6:17" x14ac:dyDescent="0.25">
      <c r="F293" s="81" t="str">
        <f>IF($B293="","",IF(SUMIF(Grades!$A:$A,$B$2,Grades!$BO:$BO)=0,"-",IF(AND(VLOOKUP($B$2,Grades!$A:$BV,74,FALSE)="YES",B293&lt;Thresholds_Rates!$C$16),"-",$C293*Thresholds_Rates!$F$15)))</f>
        <v/>
      </c>
      <c r="M293" s="81" t="str">
        <f t="shared" si="23"/>
        <v/>
      </c>
      <c r="N293" s="81" t="str">
        <f t="shared" si="24"/>
        <v/>
      </c>
      <c r="O293" s="81" t="str">
        <f t="shared" si="25"/>
        <v/>
      </c>
      <c r="P293" s="81" t="str">
        <f t="shared" si="26"/>
        <v/>
      </c>
      <c r="Q293" s="81" t="str">
        <f t="shared" si="27"/>
        <v/>
      </c>
    </row>
    <row r="294" spans="6:17" x14ac:dyDescent="0.25">
      <c r="M294" s="81" t="str">
        <f t="shared" si="23"/>
        <v/>
      </c>
      <c r="N294" s="81" t="str">
        <f t="shared" si="24"/>
        <v/>
      </c>
      <c r="O294" s="81" t="str">
        <f t="shared" si="25"/>
        <v/>
      </c>
      <c r="P294" s="81" t="str">
        <f t="shared" si="26"/>
        <v/>
      </c>
      <c r="Q294" s="81" t="str">
        <f t="shared" si="27"/>
        <v/>
      </c>
    </row>
    <row r="295" spans="6:17" x14ac:dyDescent="0.25">
      <c r="M295" s="81" t="str">
        <f t="shared" si="23"/>
        <v/>
      </c>
      <c r="N295" s="81" t="str">
        <f t="shared" si="24"/>
        <v/>
      </c>
      <c r="O295" s="81" t="str">
        <f t="shared" si="25"/>
        <v/>
      </c>
      <c r="P295" s="81" t="str">
        <f t="shared" si="26"/>
        <v/>
      </c>
      <c r="Q295" s="81" t="str">
        <f t="shared" si="27"/>
        <v/>
      </c>
    </row>
    <row r="296" spans="6:17" x14ac:dyDescent="0.25">
      <c r="M296" s="81" t="str">
        <f t="shared" si="23"/>
        <v/>
      </c>
      <c r="N296" s="81" t="str">
        <f t="shared" si="24"/>
        <v/>
      </c>
      <c r="O296" s="81" t="str">
        <f t="shared" si="25"/>
        <v/>
      </c>
      <c r="P296" s="81" t="str">
        <f t="shared" si="26"/>
        <v/>
      </c>
      <c r="Q296" s="81" t="str">
        <f t="shared" si="27"/>
        <v/>
      </c>
    </row>
    <row r="297" spans="6:17" x14ac:dyDescent="0.25">
      <c r="M297" s="81" t="str">
        <f t="shared" si="23"/>
        <v/>
      </c>
      <c r="N297" s="81" t="str">
        <f t="shared" si="24"/>
        <v/>
      </c>
      <c r="O297" s="81" t="str">
        <f t="shared" si="25"/>
        <v/>
      </c>
      <c r="P297" s="81" t="str">
        <f t="shared" si="26"/>
        <v/>
      </c>
      <c r="Q297" s="81" t="str">
        <f t="shared" si="27"/>
        <v/>
      </c>
    </row>
    <row r="298" spans="6:17" x14ac:dyDescent="0.25">
      <c r="M298" s="81" t="str">
        <f t="shared" si="23"/>
        <v/>
      </c>
      <c r="N298" s="81" t="str">
        <f t="shared" si="24"/>
        <v/>
      </c>
      <c r="O298" s="81" t="str">
        <f t="shared" si="25"/>
        <v/>
      </c>
      <c r="P298" s="81" t="str">
        <f t="shared" si="26"/>
        <v/>
      </c>
      <c r="Q298" s="81" t="str">
        <f t="shared" si="27"/>
        <v/>
      </c>
    </row>
    <row r="299" spans="6:17" x14ac:dyDescent="0.25">
      <c r="M299" s="81" t="str">
        <f t="shared" si="23"/>
        <v/>
      </c>
      <c r="N299" s="81" t="str">
        <f t="shared" si="24"/>
        <v/>
      </c>
      <c r="O299" s="81" t="str">
        <f t="shared" si="25"/>
        <v/>
      </c>
      <c r="P299" s="81" t="str">
        <f t="shared" si="26"/>
        <v/>
      </c>
      <c r="Q299" s="81" t="str">
        <f t="shared" si="27"/>
        <v/>
      </c>
    </row>
    <row r="300" spans="6:17" x14ac:dyDescent="0.25">
      <c r="M300" s="81" t="str">
        <f t="shared" si="23"/>
        <v/>
      </c>
      <c r="N300" s="81" t="str">
        <f t="shared" si="24"/>
        <v/>
      </c>
      <c r="O300" s="81" t="str">
        <f t="shared" si="25"/>
        <v/>
      </c>
      <c r="P300" s="81" t="str">
        <f t="shared" si="26"/>
        <v/>
      </c>
      <c r="Q300" s="81" t="str">
        <f t="shared" si="27"/>
        <v/>
      </c>
    </row>
    <row r="301" spans="6:17" x14ac:dyDescent="0.25">
      <c r="M301" s="81" t="str">
        <f t="shared" si="23"/>
        <v/>
      </c>
      <c r="N301" s="81" t="str">
        <f t="shared" si="24"/>
        <v/>
      </c>
      <c r="O301" s="81" t="str">
        <f t="shared" si="25"/>
        <v/>
      </c>
      <c r="P301" s="81" t="str">
        <f t="shared" si="26"/>
        <v/>
      </c>
      <c r="Q301" s="81" t="str">
        <f t="shared" si="27"/>
        <v/>
      </c>
    </row>
  </sheetData>
  <sheetProtection algorithmName="SHA-512" hashValue="3ySQGBsSdPz2pzznmd9HwD1ngia04Iyhza0VkMe4684kX3NriJZ6mxnkzW5cvLGPijYtRshHVxLxxnYaNgPA0g==" saltValue="bcG/f41xNtZ+7ba3gArToA==" spinCount="100000" sheet="1" objects="1" scenarios="1"/>
  <mergeCells count="7">
    <mergeCell ref="U5:V5"/>
    <mergeCell ref="M5:Q5"/>
    <mergeCell ref="S5:T5"/>
    <mergeCell ref="F5:K5"/>
    <mergeCell ref="B2:C2"/>
    <mergeCell ref="B5:D5"/>
    <mergeCell ref="F2:K2"/>
  </mergeCells>
  <conditionalFormatting sqref="S5:V6">
    <cfRule type="expression" dxfId="16" priority="20">
      <formula>$S$6&lt;&gt;""</formula>
    </cfRule>
  </conditionalFormatting>
  <conditionalFormatting sqref="B7:Q7 C8:C171 B8:E9 G8:L9 F8:F293 I8:I101 J8:J171 M8:Q301 K8:K101 G8:H171 D8:D61">
    <cfRule type="containsBlanks" priority="7" stopIfTrue="1">
      <formula>LEN(TRIM(B7))=0</formula>
    </cfRule>
  </conditionalFormatting>
  <conditionalFormatting sqref="B5:D5">
    <cfRule type="expression" dxfId="15" priority="2">
      <formula>$B$5&lt;&gt;""</formula>
    </cfRule>
  </conditionalFormatting>
  <conditionalFormatting sqref="F2:K2">
    <cfRule type="containsText" dxfId="14" priority="1" operator="containsText" text="CLDOCIT">
      <formula>NOT(ISERROR(SEARCH("CLDOCIT",F2)))</formula>
    </cfRule>
  </conditionalFormatting>
  <dataValidations count="1">
    <dataValidation type="list" allowBlank="1" showInputMessage="1" showErrorMessage="1" sqref="B2:C2" xr:uid="{00000000-0002-0000-0000-000000000000}">
      <formula1>LIST</formula1>
    </dataValidation>
  </dataValidations>
  <printOptions horizontalCentered="1"/>
  <pageMargins left="0.23622047244094491" right="0.23622047244094491" top="0.74803149606299213" bottom="0.39370078740157483" header="0.27559055118110237" footer="0.31496062992125984"/>
  <pageSetup paperSize="9" scale="59" orientation="landscape" r:id="rId1"/>
  <headerFooter>
    <oddHeader>&amp;C&amp;"-,Bold"&amp;20Pay Award Dates: 01/08/2021 (where agreed); 01/08/2019 (where not yet agreed); 01/04/2021 (for Clinical grades)
National Insurance: 2021/22 Tax Year</oddHeader>
    <oddFooter>&amp;CVersion 1, last updated 13/10/2021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2" id="{6B5B06B3-D9FA-4CC9-92C4-BB3B587251A8}">
            <xm:f>$B7=Thresholds_Rates!$C$15</xm:f>
            <x14:dxf>
              <font>
                <b/>
                <i val="0"/>
              </font>
              <fill>
                <patternFill>
                  <bgColor rgb="FFFFC000"/>
                </patternFill>
              </fill>
              <border>
                <left/>
                <right/>
                <top/>
                <bottom/>
                <vertical/>
                <horizontal/>
              </border>
            </x14:dxf>
          </x14:cfRule>
          <xm:sqref>B7:Q7 F8:F293 M8:Q301 G8:L171 B8:E171</xm:sqref>
        </x14:conditionalFormatting>
        <x14:conditionalFormatting xmlns:xm="http://schemas.microsoft.com/office/excel/2006/main">
          <x14:cfRule type="expression" priority="35" id="{7A1CD022-C5B3-4A9F-B822-D53F5F12A0AE}">
            <xm:f>AND(Thresholds_Rates!$C$15=0,$B$2&lt;&gt;"O&amp;F Level 1",$B$2&lt;&gt;"O&amp;F Level 2")</xm:f>
            <x14:dxf>
              <numFmt numFmtId="0" formatCode="General"/>
              <fill>
                <patternFill patternType="none">
                  <bgColor auto="1"/>
                </patternFill>
              </fill>
              <border>
                <left/>
                <right/>
                <top/>
                <bottom/>
                <vertical/>
                <horizontal/>
              </border>
            </x14:dxf>
          </x14:cfRule>
          <xm:sqref>F2</xm:sqref>
        </x14:conditionalFormatting>
        <x14:conditionalFormatting xmlns:xm="http://schemas.microsoft.com/office/excel/2006/main">
          <x14:cfRule type="expression" priority="36" id="{ABE4A44D-BD52-4335-A3FD-5FCEE129207B}">
            <xm:f>AND($B7=Thresholds_Rates!$C$15,$S$6&lt;&gt;"")</xm:f>
            <x14:dxf>
              <font>
                <b/>
                <i val="0"/>
              </font>
              <fill>
                <patternFill>
                  <bgColor rgb="FFFFC000"/>
                </patternFill>
              </fill>
            </x14:dxf>
          </x14:cfRule>
          <xm:sqref>R7:V171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/>
  <dimension ref="A1:E22"/>
  <sheetViews>
    <sheetView zoomScaleNormal="100" workbookViewId="0">
      <selection activeCell="A9" sqref="A9"/>
    </sheetView>
  </sheetViews>
  <sheetFormatPr defaultColWidth="9.140625" defaultRowHeight="14.25" x14ac:dyDescent="0.2"/>
  <cols>
    <col min="1" max="1" width="134.5703125" style="171" customWidth="1"/>
    <col min="2" max="2" width="9.140625" style="171" customWidth="1"/>
    <col min="3" max="3" width="29.5703125" style="171" customWidth="1"/>
    <col min="4" max="4" width="17.42578125" style="171" bestFit="1" customWidth="1"/>
    <col min="5" max="16384" width="9.140625" style="171"/>
  </cols>
  <sheetData>
    <row r="1" spans="1:5" s="165" customFormat="1" ht="30" x14ac:dyDescent="0.25">
      <c r="A1" s="164" t="s">
        <v>85</v>
      </c>
      <c r="E1" s="166"/>
    </row>
    <row r="2" spans="1:5" s="165" customFormat="1" ht="30" x14ac:dyDescent="0.25">
      <c r="A2" s="164"/>
      <c r="E2" s="166"/>
    </row>
    <row r="3" spans="1:5" s="165" customFormat="1" ht="34.5" customHeight="1" x14ac:dyDescent="0.25">
      <c r="A3" s="167" t="s">
        <v>86</v>
      </c>
      <c r="C3" s="184" t="s">
        <v>87</v>
      </c>
      <c r="D3" s="185" t="s">
        <v>88</v>
      </c>
      <c r="E3" s="166"/>
    </row>
    <row r="4" spans="1:5" s="165" customFormat="1" ht="34.5" customHeight="1" x14ac:dyDescent="0.25">
      <c r="A4" s="165" t="s">
        <v>89</v>
      </c>
      <c r="C4" s="186" t="s">
        <v>90</v>
      </c>
      <c r="D4" s="187">
        <v>44409</v>
      </c>
      <c r="E4" s="166"/>
    </row>
    <row r="5" spans="1:5" s="165" customFormat="1" ht="34.5" customHeight="1" x14ac:dyDescent="0.25">
      <c r="A5" s="165" t="s">
        <v>91</v>
      </c>
      <c r="C5" s="183" t="s">
        <v>92</v>
      </c>
      <c r="D5" s="187">
        <v>44409</v>
      </c>
    </row>
    <row r="6" spans="1:5" s="165" customFormat="1" ht="34.5" customHeight="1" x14ac:dyDescent="0.25">
      <c r="A6" s="165" t="s">
        <v>93</v>
      </c>
      <c r="C6" s="183" t="s">
        <v>94</v>
      </c>
      <c r="D6" s="187">
        <v>44409</v>
      </c>
    </row>
    <row r="7" spans="1:5" s="165" customFormat="1" ht="34.5" customHeight="1" x14ac:dyDescent="0.25">
      <c r="C7" s="186" t="s">
        <v>95</v>
      </c>
      <c r="D7" s="187">
        <v>44287</v>
      </c>
    </row>
    <row r="8" spans="1:5" s="165" customFormat="1" ht="34.5" customHeight="1" x14ac:dyDescent="0.25">
      <c r="A8" s="167" t="s">
        <v>96</v>
      </c>
      <c r="C8" s="186" t="s">
        <v>97</v>
      </c>
      <c r="D8" s="187">
        <v>44287</v>
      </c>
    </row>
    <row r="9" spans="1:5" s="165" customFormat="1" ht="35.1" customHeight="1" x14ac:dyDescent="0.25">
      <c r="A9" s="165" t="s">
        <v>98</v>
      </c>
      <c r="C9" s="183" t="s">
        <v>99</v>
      </c>
      <c r="D9" s="205">
        <f ca="1">TODAY()</f>
        <v>44505</v>
      </c>
    </row>
    <row r="10" spans="1:5" s="165" customFormat="1" ht="35.1" customHeight="1" x14ac:dyDescent="0.25">
      <c r="A10" s="165" t="s">
        <v>100</v>
      </c>
    </row>
    <row r="11" spans="1:5" s="165" customFormat="1" ht="35.1" customHeight="1" x14ac:dyDescent="0.25">
      <c r="A11" s="165" t="s">
        <v>101</v>
      </c>
    </row>
    <row r="12" spans="1:5" s="165" customFormat="1" ht="45.75" customHeight="1" x14ac:dyDescent="0.25">
      <c r="A12" s="165" t="s">
        <v>102</v>
      </c>
    </row>
    <row r="13" spans="1:5" s="165" customFormat="1" ht="35.1" customHeight="1" x14ac:dyDescent="0.25">
      <c r="A13" s="165" t="s">
        <v>103</v>
      </c>
      <c r="D13" s="168"/>
    </row>
    <row r="14" spans="1:5" s="165" customFormat="1" ht="35.1" customHeight="1" x14ac:dyDescent="0.25">
      <c r="A14" s="165" t="s">
        <v>104</v>
      </c>
      <c r="D14" s="168"/>
    </row>
    <row r="15" spans="1:5" s="165" customFormat="1" ht="35.1" customHeight="1" x14ac:dyDescent="0.25">
      <c r="A15" s="165" t="s">
        <v>105</v>
      </c>
      <c r="D15" s="168"/>
    </row>
    <row r="16" spans="1:5" s="165" customFormat="1" ht="63" customHeight="1" x14ac:dyDescent="0.25">
      <c r="A16" s="165" t="s">
        <v>106</v>
      </c>
    </row>
    <row r="17" spans="3:4" s="165" customFormat="1" ht="35.1" customHeight="1" x14ac:dyDescent="0.2">
      <c r="C17" s="169"/>
      <c r="D17" s="170"/>
    </row>
    <row r="18" spans="3:4" s="165" customFormat="1" ht="35.1" customHeight="1" x14ac:dyDescent="0.25"/>
    <row r="19" spans="3:4" ht="35.1" customHeight="1" x14ac:dyDescent="0.2">
      <c r="C19" s="165"/>
      <c r="D19" s="165"/>
    </row>
    <row r="20" spans="3:4" x14ac:dyDescent="0.2">
      <c r="C20" s="165"/>
      <c r="D20" s="165"/>
    </row>
    <row r="21" spans="3:4" x14ac:dyDescent="0.2">
      <c r="C21" s="165"/>
      <c r="D21" s="165"/>
    </row>
    <row r="22" spans="3:4" x14ac:dyDescent="0.2">
      <c r="C22" s="165"/>
      <c r="D22" s="165"/>
    </row>
  </sheetData>
  <sheetProtection algorithmName="SHA-512" hashValue="cg9SL2bhGELLAwC137vlWGvKfU7snmOeCErqlpmecgmfefuEeHk559IWUh1iyeroRjGJ/YFKIBq40s79qK5kPA==" saltValue="nDONS0WyOzPbmB9zDzxVWg==" spinCount="100000" sheet="1" objects="1" scenarios="1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7">
    <tabColor theme="3"/>
  </sheetPr>
  <dimension ref="A1:BY49"/>
  <sheetViews>
    <sheetView zoomScaleNormal="100" workbookViewId="0">
      <pane xSplit="2" ySplit="1" topLeftCell="BQ2" activePane="bottomRight" state="frozenSplit"/>
      <selection activeCell="A9" sqref="A9"/>
      <selection pane="topRight" activeCell="A9" sqref="A9"/>
      <selection pane="bottomLeft" activeCell="A9" sqref="A9"/>
      <selection pane="bottomRight" activeCell="BX22" sqref="BX22"/>
    </sheetView>
  </sheetViews>
  <sheetFormatPr defaultColWidth="9.140625" defaultRowHeight="15" x14ac:dyDescent="0.25"/>
  <cols>
    <col min="1" max="1" width="89.5703125" style="10" customWidth="1"/>
    <col min="2" max="2" width="10" style="10" customWidth="1"/>
    <col min="3" max="20" width="9.140625" style="10" customWidth="1"/>
    <col min="21" max="21" width="10.85546875" style="10" bestFit="1" customWidth="1"/>
    <col min="22" max="22" width="12.140625" style="10" bestFit="1" customWidth="1"/>
    <col min="23" max="23" width="9.140625" style="10" customWidth="1"/>
    <col min="24" max="73" width="9.140625" style="10"/>
    <col min="74" max="74" width="9.85546875" style="10" customWidth="1"/>
    <col min="75" max="75" width="12" style="10" customWidth="1"/>
    <col min="76" max="76" width="52.42578125" style="10" customWidth="1"/>
    <col min="77" max="77" width="9.85546875" style="10" bestFit="1" customWidth="1"/>
    <col min="78" max="16384" width="9.140625" style="10"/>
  </cols>
  <sheetData>
    <row r="1" spans="1:77" s="182" customFormat="1" ht="90" x14ac:dyDescent="0.25">
      <c r="A1" s="178" t="s">
        <v>107</v>
      </c>
      <c r="B1" s="178" t="s">
        <v>108</v>
      </c>
      <c r="C1" s="65">
        <v>1</v>
      </c>
      <c r="D1" s="65">
        <v>2</v>
      </c>
      <c r="E1" s="65">
        <v>3</v>
      </c>
      <c r="F1" s="65">
        <v>4</v>
      </c>
      <c r="G1" s="65">
        <v>5</v>
      </c>
      <c r="H1" s="65">
        <v>6</v>
      </c>
      <c r="I1" s="65">
        <v>7</v>
      </c>
      <c r="J1" s="65">
        <v>8</v>
      </c>
      <c r="K1" s="65">
        <v>9</v>
      </c>
      <c r="L1" s="65">
        <v>10</v>
      </c>
      <c r="M1" s="65">
        <v>11</v>
      </c>
      <c r="N1" s="65">
        <v>12</v>
      </c>
      <c r="O1" s="65">
        <v>13</v>
      </c>
      <c r="P1" s="65">
        <v>14</v>
      </c>
      <c r="Q1" s="65">
        <v>15</v>
      </c>
      <c r="R1" s="65">
        <v>16</v>
      </c>
      <c r="S1" s="65">
        <v>17</v>
      </c>
      <c r="T1" s="65">
        <v>18</v>
      </c>
      <c r="U1" s="65">
        <v>19</v>
      </c>
      <c r="V1" s="65">
        <v>20</v>
      </c>
      <c r="W1" s="65">
        <v>21</v>
      </c>
      <c r="X1" s="65">
        <v>22</v>
      </c>
      <c r="Y1" s="65">
        <v>23</v>
      </c>
      <c r="Z1" s="65">
        <v>24</v>
      </c>
      <c r="AA1" s="65">
        <v>25</v>
      </c>
      <c r="AB1" s="65">
        <v>26</v>
      </c>
      <c r="AC1" s="65">
        <v>27</v>
      </c>
      <c r="AD1" s="65">
        <v>28</v>
      </c>
      <c r="AE1" s="65">
        <v>29</v>
      </c>
      <c r="AF1" s="65">
        <v>30</v>
      </c>
      <c r="AG1" s="65">
        <v>31</v>
      </c>
      <c r="AH1" s="65">
        <v>32</v>
      </c>
      <c r="AI1" s="65">
        <v>33</v>
      </c>
      <c r="AJ1" s="65">
        <v>34</v>
      </c>
      <c r="AK1" s="65">
        <v>35</v>
      </c>
      <c r="AL1" s="65">
        <v>36</v>
      </c>
      <c r="AM1" s="65">
        <v>37</v>
      </c>
      <c r="AN1" s="65">
        <v>38</v>
      </c>
      <c r="AO1" s="65">
        <v>39</v>
      </c>
      <c r="AP1" s="65">
        <v>40</v>
      </c>
      <c r="AQ1" s="65">
        <v>41</v>
      </c>
      <c r="AR1" s="65">
        <v>42</v>
      </c>
      <c r="AS1" s="65">
        <v>43</v>
      </c>
      <c r="AT1" s="65">
        <v>44</v>
      </c>
      <c r="AU1" s="65">
        <v>45</v>
      </c>
      <c r="AV1" s="65">
        <v>46</v>
      </c>
      <c r="AW1" s="65">
        <v>47</v>
      </c>
      <c r="AX1" s="65">
        <v>48</v>
      </c>
      <c r="AY1" s="65">
        <v>49</v>
      </c>
      <c r="AZ1" s="65">
        <v>50</v>
      </c>
      <c r="BA1" s="65">
        <v>51</v>
      </c>
      <c r="BB1" s="65">
        <v>52</v>
      </c>
      <c r="BC1" s="65">
        <v>53</v>
      </c>
      <c r="BD1" s="65">
        <v>54</v>
      </c>
      <c r="BE1" s="65">
        <v>55</v>
      </c>
      <c r="BF1" s="65">
        <v>56</v>
      </c>
      <c r="BG1" s="65">
        <v>57</v>
      </c>
      <c r="BH1" s="178" t="s">
        <v>109</v>
      </c>
      <c r="BI1" s="178" t="s">
        <v>25</v>
      </c>
      <c r="BJ1" s="178" t="s">
        <v>110</v>
      </c>
      <c r="BK1" s="286" t="s">
        <v>111</v>
      </c>
      <c r="BL1" s="286"/>
      <c r="BM1" s="286"/>
      <c r="BN1" s="286"/>
      <c r="BO1" s="179" t="s">
        <v>80</v>
      </c>
      <c r="BP1" s="179" t="s">
        <v>81</v>
      </c>
      <c r="BQ1" s="179" t="s">
        <v>82</v>
      </c>
      <c r="BR1" s="179" t="s">
        <v>83</v>
      </c>
      <c r="BS1" s="180" t="s">
        <v>222</v>
      </c>
      <c r="BT1" s="181" t="s">
        <v>112</v>
      </c>
      <c r="BU1" s="181" t="s">
        <v>113</v>
      </c>
      <c r="BV1" s="181" t="s">
        <v>114</v>
      </c>
      <c r="BW1" s="181" t="s">
        <v>115</v>
      </c>
      <c r="BX1" s="181" t="s">
        <v>116</v>
      </c>
      <c r="BY1" s="182" t="s">
        <v>117</v>
      </c>
    </row>
    <row r="2" spans="1:77" x14ac:dyDescent="0.25">
      <c r="A2" s="128" t="s">
        <v>68</v>
      </c>
      <c r="B2" s="176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39"/>
      <c r="AM2" s="39"/>
      <c r="AN2" s="39"/>
      <c r="AO2" s="39"/>
      <c r="AP2" s="39"/>
      <c r="AQ2" s="39"/>
      <c r="AR2" s="39"/>
      <c r="AS2" s="39"/>
      <c r="AT2" s="39"/>
      <c r="AU2" s="39"/>
      <c r="AV2" s="39"/>
      <c r="AW2" s="39"/>
      <c r="AX2" s="39"/>
      <c r="AY2" s="39"/>
      <c r="AZ2" s="39"/>
      <c r="BA2" s="39"/>
      <c r="BB2" s="39"/>
      <c r="BC2" s="39"/>
      <c r="BD2" s="39"/>
      <c r="BE2" s="39"/>
      <c r="BF2" s="39"/>
      <c r="BG2" s="39"/>
      <c r="BH2" s="176"/>
      <c r="BI2" s="176"/>
      <c r="BJ2" s="176"/>
      <c r="BK2" s="176"/>
      <c r="BL2" s="176"/>
      <c r="BM2" s="176"/>
      <c r="BN2" s="176"/>
      <c r="BO2" s="126"/>
      <c r="BP2" s="126"/>
      <c r="BQ2" s="126"/>
      <c r="BR2" s="126"/>
      <c r="BS2" s="126"/>
      <c r="BY2" s="10">
        <v>0</v>
      </c>
    </row>
    <row r="3" spans="1:77" x14ac:dyDescent="0.25">
      <c r="A3" s="129" t="s">
        <v>118</v>
      </c>
      <c r="B3" s="130">
        <f t="shared" ref="B3:B11" si="0">IF(A3="","",COUNTA(C3:BG3))</f>
        <v>55</v>
      </c>
      <c r="C3" s="126">
        <v>3</v>
      </c>
      <c r="D3" s="126">
        <v>4</v>
      </c>
      <c r="E3" s="126">
        <v>5</v>
      </c>
      <c r="F3" s="126">
        <v>6</v>
      </c>
      <c r="G3" s="126">
        <v>7</v>
      </c>
      <c r="H3" s="126">
        <v>8</v>
      </c>
      <c r="I3" s="126">
        <v>9</v>
      </c>
      <c r="J3" s="126">
        <v>10</v>
      </c>
      <c r="K3" s="126">
        <v>11</v>
      </c>
      <c r="L3" s="126">
        <v>12</v>
      </c>
      <c r="M3" s="126">
        <v>13</v>
      </c>
      <c r="N3" s="126">
        <v>14</v>
      </c>
      <c r="O3" s="126">
        <v>15</v>
      </c>
      <c r="P3" s="126">
        <v>16</v>
      </c>
      <c r="Q3" s="126">
        <v>17</v>
      </c>
      <c r="R3" s="126">
        <v>18</v>
      </c>
      <c r="S3" s="126">
        <v>19</v>
      </c>
      <c r="T3" s="126">
        <v>20</v>
      </c>
      <c r="U3" s="126">
        <v>21</v>
      </c>
      <c r="V3" s="126">
        <v>22</v>
      </c>
      <c r="W3" s="126">
        <v>23</v>
      </c>
      <c r="X3" s="126">
        <v>24</v>
      </c>
      <c r="Y3" s="126">
        <v>25</v>
      </c>
      <c r="Z3" s="126">
        <v>26</v>
      </c>
      <c r="AA3" s="126">
        <v>27</v>
      </c>
      <c r="AB3" s="126">
        <v>28</v>
      </c>
      <c r="AC3" s="126">
        <v>29</v>
      </c>
      <c r="AD3" s="126">
        <v>30</v>
      </c>
      <c r="AE3" s="126">
        <v>31</v>
      </c>
      <c r="AF3" s="126">
        <v>32</v>
      </c>
      <c r="AG3" s="126">
        <v>33</v>
      </c>
      <c r="AH3" s="126">
        <v>34</v>
      </c>
      <c r="AI3" s="126">
        <v>35</v>
      </c>
      <c r="AJ3" s="126">
        <v>36</v>
      </c>
      <c r="AK3" s="126">
        <v>37</v>
      </c>
      <c r="AL3" s="126">
        <v>38</v>
      </c>
      <c r="AM3" s="126">
        <v>39</v>
      </c>
      <c r="AN3" s="126">
        <v>40</v>
      </c>
      <c r="AO3" s="126">
        <v>41</v>
      </c>
      <c r="AP3" s="126">
        <v>42</v>
      </c>
      <c r="AQ3" s="126">
        <v>43</v>
      </c>
      <c r="AR3" s="126">
        <v>44</v>
      </c>
      <c r="AS3" s="126">
        <v>45</v>
      </c>
      <c r="AT3" s="126">
        <v>46</v>
      </c>
      <c r="AU3" s="126">
        <v>47</v>
      </c>
      <c r="AV3" s="126">
        <v>48</v>
      </c>
      <c r="AW3" s="126">
        <v>49</v>
      </c>
      <c r="AX3" s="126">
        <v>50</v>
      </c>
      <c r="AY3" s="126">
        <v>51</v>
      </c>
      <c r="AZ3" s="126">
        <v>52</v>
      </c>
      <c r="BA3" s="126">
        <v>53</v>
      </c>
      <c r="BB3" s="126">
        <v>54</v>
      </c>
      <c r="BC3" s="126">
        <v>55</v>
      </c>
      <c r="BD3" s="126">
        <v>56</v>
      </c>
      <c r="BE3" s="126">
        <v>57</v>
      </c>
      <c r="BF3" s="126"/>
      <c r="BG3" s="126"/>
      <c r="BH3" s="127"/>
      <c r="BI3" s="127"/>
      <c r="BJ3" s="127"/>
      <c r="BK3" s="126" t="s">
        <v>80</v>
      </c>
      <c r="BL3" s="126" t="s">
        <v>81</v>
      </c>
      <c r="BM3" s="126" t="s">
        <v>82</v>
      </c>
      <c r="BN3" s="126" t="s">
        <v>83</v>
      </c>
      <c r="BO3" s="126">
        <f t="shared" ref="BO3:BR21" si="1">COUNTIF($BK3:$BN3,BO$1)</f>
        <v>1</v>
      </c>
      <c r="BP3" s="126">
        <f t="shared" si="1"/>
        <v>1</v>
      </c>
      <c r="BQ3" s="126">
        <f t="shared" si="1"/>
        <v>1</v>
      </c>
      <c r="BR3" s="126">
        <f t="shared" si="1"/>
        <v>1</v>
      </c>
      <c r="BS3" s="127" t="s">
        <v>119</v>
      </c>
      <c r="BT3" s="10" t="s">
        <v>122</v>
      </c>
      <c r="BU3" s="10" t="s">
        <v>123</v>
      </c>
      <c r="BV3" s="10" t="s">
        <v>120</v>
      </c>
      <c r="BW3" s="132" t="s">
        <v>121</v>
      </c>
      <c r="BY3" s="10">
        <v>1</v>
      </c>
    </row>
    <row r="4" spans="1:77" x14ac:dyDescent="0.25">
      <c r="A4" s="129" t="s">
        <v>124</v>
      </c>
      <c r="B4" s="130">
        <f t="shared" si="0"/>
        <v>10</v>
      </c>
      <c r="C4" s="126">
        <v>3</v>
      </c>
      <c r="D4" s="126">
        <v>4</v>
      </c>
      <c r="E4" s="126">
        <v>5</v>
      </c>
      <c r="F4" s="126">
        <v>6</v>
      </c>
      <c r="G4" s="126">
        <v>7</v>
      </c>
      <c r="H4" s="126">
        <v>8</v>
      </c>
      <c r="I4" s="126">
        <v>9</v>
      </c>
      <c r="J4" s="126">
        <v>10</v>
      </c>
      <c r="K4" s="126">
        <v>11</v>
      </c>
      <c r="L4" s="126">
        <v>12</v>
      </c>
      <c r="M4" s="126"/>
      <c r="N4" s="126"/>
      <c r="O4" s="127"/>
      <c r="P4" s="127"/>
      <c r="Q4" s="127"/>
      <c r="R4" s="127"/>
      <c r="S4" s="127"/>
      <c r="T4" s="127"/>
      <c r="U4" s="127"/>
      <c r="V4" s="127"/>
      <c r="W4" s="127"/>
      <c r="X4" s="127"/>
      <c r="Y4" s="127"/>
      <c r="Z4" s="127"/>
      <c r="AA4" s="127"/>
      <c r="AB4" s="127"/>
      <c r="AC4" s="127"/>
      <c r="AD4" s="127"/>
      <c r="AE4" s="127"/>
      <c r="AF4" s="127"/>
      <c r="AG4" s="127"/>
      <c r="AH4" s="127"/>
      <c r="AI4" s="127"/>
      <c r="AJ4" s="127"/>
      <c r="AK4" s="127"/>
      <c r="AL4" s="127"/>
      <c r="AM4" s="127"/>
      <c r="AN4" s="127"/>
      <c r="AO4" s="127"/>
      <c r="AP4" s="127"/>
      <c r="AQ4" s="127"/>
      <c r="AR4" s="127"/>
      <c r="AS4" s="127"/>
      <c r="AT4" s="127"/>
      <c r="AU4" s="127"/>
      <c r="AV4" s="127"/>
      <c r="AW4" s="127"/>
      <c r="AX4" s="127"/>
      <c r="AY4" s="127"/>
      <c r="AZ4" s="127"/>
      <c r="BA4" s="127"/>
      <c r="BB4" s="127"/>
      <c r="BC4" s="127"/>
      <c r="BD4" s="127"/>
      <c r="BE4" s="127"/>
      <c r="BF4" s="127"/>
      <c r="BG4" s="127"/>
      <c r="BH4" s="126">
        <v>3</v>
      </c>
      <c r="BI4" s="126">
        <v>6</v>
      </c>
      <c r="BJ4" s="126">
        <v>12</v>
      </c>
      <c r="BK4" s="126" t="s">
        <v>82</v>
      </c>
      <c r="BL4" s="126" t="s">
        <v>83</v>
      </c>
      <c r="BM4" s="127"/>
      <c r="BN4" s="127"/>
      <c r="BO4" s="126">
        <f t="shared" si="1"/>
        <v>0</v>
      </c>
      <c r="BP4" s="126">
        <f t="shared" si="1"/>
        <v>0</v>
      </c>
      <c r="BQ4" s="126">
        <f t="shared" si="1"/>
        <v>1</v>
      </c>
      <c r="BR4" s="126">
        <f t="shared" si="1"/>
        <v>1</v>
      </c>
      <c r="BS4" s="127" t="s">
        <v>119</v>
      </c>
      <c r="BT4" s="10" t="s">
        <v>122</v>
      </c>
      <c r="BU4" s="10" t="s">
        <v>123</v>
      </c>
      <c r="BV4" s="10" t="s">
        <v>125</v>
      </c>
      <c r="BW4" s="10" t="s">
        <v>120</v>
      </c>
      <c r="BY4" s="10">
        <v>2</v>
      </c>
    </row>
    <row r="5" spans="1:77" x14ac:dyDescent="0.25">
      <c r="A5" s="129" t="s">
        <v>126</v>
      </c>
      <c r="B5" s="130">
        <f t="shared" si="0"/>
        <v>13</v>
      </c>
      <c r="C5" s="126">
        <v>9</v>
      </c>
      <c r="D5" s="126">
        <v>10</v>
      </c>
      <c r="E5" s="126">
        <v>11</v>
      </c>
      <c r="F5" s="126">
        <v>12</v>
      </c>
      <c r="G5" s="126">
        <v>13</v>
      </c>
      <c r="H5" s="126">
        <v>14</v>
      </c>
      <c r="I5" s="126">
        <v>15</v>
      </c>
      <c r="J5" s="126">
        <v>16</v>
      </c>
      <c r="K5" s="126">
        <v>17</v>
      </c>
      <c r="L5" s="126">
        <v>18</v>
      </c>
      <c r="M5" s="126">
        <v>19</v>
      </c>
      <c r="N5" s="126">
        <v>20</v>
      </c>
      <c r="O5" s="126">
        <v>21</v>
      </c>
      <c r="P5" s="127"/>
      <c r="Q5" s="127"/>
      <c r="R5" s="127"/>
      <c r="S5" s="127"/>
      <c r="T5" s="127"/>
      <c r="U5" s="127"/>
      <c r="V5" s="127"/>
      <c r="W5" s="127"/>
      <c r="X5" s="127"/>
      <c r="Y5" s="127"/>
      <c r="Z5" s="127"/>
      <c r="AA5" s="127"/>
      <c r="AB5" s="127"/>
      <c r="AC5" s="127"/>
      <c r="AD5" s="127"/>
      <c r="AE5" s="127"/>
      <c r="AF5" s="127"/>
      <c r="AG5" s="127"/>
      <c r="AH5" s="127"/>
      <c r="AI5" s="127"/>
      <c r="AJ5" s="127"/>
      <c r="AK5" s="127"/>
      <c r="AL5" s="127"/>
      <c r="AM5" s="127"/>
      <c r="AN5" s="127"/>
      <c r="AO5" s="127"/>
      <c r="AP5" s="127"/>
      <c r="AQ5" s="127"/>
      <c r="AR5" s="127"/>
      <c r="AS5" s="127"/>
      <c r="AT5" s="127"/>
      <c r="AU5" s="127"/>
      <c r="AV5" s="127"/>
      <c r="AW5" s="127"/>
      <c r="AX5" s="127"/>
      <c r="AY5" s="127"/>
      <c r="AZ5" s="127"/>
      <c r="BA5" s="127"/>
      <c r="BB5" s="127"/>
      <c r="BC5" s="127"/>
      <c r="BD5" s="127"/>
      <c r="BE5" s="127"/>
      <c r="BF5" s="127"/>
      <c r="BG5" s="127"/>
      <c r="BH5" s="126">
        <v>9</v>
      </c>
      <c r="BI5" s="126">
        <v>15</v>
      </c>
      <c r="BJ5" s="126">
        <v>21</v>
      </c>
      <c r="BK5" s="126" t="s">
        <v>82</v>
      </c>
      <c r="BL5" s="126" t="s">
        <v>83</v>
      </c>
      <c r="BM5" s="127"/>
      <c r="BN5" s="127"/>
      <c r="BO5" s="126">
        <f t="shared" si="1"/>
        <v>0</v>
      </c>
      <c r="BP5" s="126">
        <f t="shared" si="1"/>
        <v>0</v>
      </c>
      <c r="BQ5" s="126">
        <f t="shared" si="1"/>
        <v>1</v>
      </c>
      <c r="BR5" s="126">
        <f t="shared" si="1"/>
        <v>1</v>
      </c>
      <c r="BS5" s="127"/>
      <c r="BT5" s="10" t="s">
        <v>122</v>
      </c>
      <c r="BU5" s="10" t="s">
        <v>123</v>
      </c>
      <c r="BV5" s="10" t="s">
        <v>125</v>
      </c>
      <c r="BW5" s="10" t="s">
        <v>120</v>
      </c>
      <c r="BY5" s="10">
        <v>2</v>
      </c>
    </row>
    <row r="6" spans="1:77" x14ac:dyDescent="0.25">
      <c r="A6" s="129" t="s">
        <v>127</v>
      </c>
      <c r="B6" s="130">
        <f t="shared" si="0"/>
        <v>13</v>
      </c>
      <c r="C6" s="126">
        <v>18</v>
      </c>
      <c r="D6" s="126">
        <v>19</v>
      </c>
      <c r="E6" s="126">
        <v>20</v>
      </c>
      <c r="F6" s="126">
        <v>21</v>
      </c>
      <c r="G6" s="126">
        <v>22</v>
      </c>
      <c r="H6" s="126">
        <v>23</v>
      </c>
      <c r="I6" s="126">
        <v>24</v>
      </c>
      <c r="J6" s="126">
        <v>25</v>
      </c>
      <c r="K6" s="126">
        <v>26</v>
      </c>
      <c r="L6" s="126">
        <v>27</v>
      </c>
      <c r="M6" s="126">
        <v>28</v>
      </c>
      <c r="N6" s="126">
        <v>29</v>
      </c>
      <c r="O6" s="126">
        <v>30</v>
      </c>
      <c r="P6" s="127"/>
      <c r="Q6" s="127"/>
      <c r="R6" s="127"/>
      <c r="S6" s="127"/>
      <c r="T6" s="127"/>
      <c r="U6" s="127"/>
      <c r="V6" s="127"/>
      <c r="W6" s="127"/>
      <c r="X6" s="127"/>
      <c r="Y6" s="127"/>
      <c r="Z6" s="127"/>
      <c r="AA6" s="127"/>
      <c r="AB6" s="127"/>
      <c r="AC6" s="127"/>
      <c r="AD6" s="127"/>
      <c r="AE6" s="127"/>
      <c r="AF6" s="127"/>
      <c r="AG6" s="127"/>
      <c r="AH6" s="127"/>
      <c r="AI6" s="127"/>
      <c r="AJ6" s="127"/>
      <c r="AK6" s="127"/>
      <c r="AL6" s="127"/>
      <c r="AM6" s="127"/>
      <c r="AN6" s="127"/>
      <c r="AO6" s="127"/>
      <c r="AP6" s="127"/>
      <c r="AQ6" s="127"/>
      <c r="AR6" s="127"/>
      <c r="AS6" s="127"/>
      <c r="AT6" s="127"/>
      <c r="AU6" s="127"/>
      <c r="AV6" s="127"/>
      <c r="AW6" s="127"/>
      <c r="AX6" s="127"/>
      <c r="AY6" s="127"/>
      <c r="AZ6" s="127"/>
      <c r="BA6" s="127"/>
      <c r="BB6" s="127"/>
      <c r="BC6" s="127"/>
      <c r="BD6" s="127"/>
      <c r="BE6" s="127"/>
      <c r="BF6" s="127"/>
      <c r="BG6" s="127"/>
      <c r="BH6" s="126">
        <v>18</v>
      </c>
      <c r="BI6" s="126">
        <v>24</v>
      </c>
      <c r="BJ6" s="126">
        <v>30</v>
      </c>
      <c r="BK6" s="126" t="s">
        <v>82</v>
      </c>
      <c r="BL6" s="126" t="s">
        <v>83</v>
      </c>
      <c r="BM6" s="127"/>
      <c r="BN6" s="127"/>
      <c r="BO6" s="126">
        <f t="shared" si="1"/>
        <v>0</v>
      </c>
      <c r="BP6" s="126">
        <f t="shared" si="1"/>
        <v>0</v>
      </c>
      <c r="BQ6" s="126">
        <f t="shared" si="1"/>
        <v>1</v>
      </c>
      <c r="BR6" s="126">
        <f t="shared" si="1"/>
        <v>1</v>
      </c>
      <c r="BS6" s="127"/>
      <c r="BT6" s="10" t="s">
        <v>122</v>
      </c>
      <c r="BU6" s="10" t="s">
        <v>123</v>
      </c>
      <c r="BV6" s="10" t="s">
        <v>125</v>
      </c>
      <c r="BW6" s="10" t="s">
        <v>120</v>
      </c>
      <c r="BY6" s="10">
        <v>2</v>
      </c>
    </row>
    <row r="7" spans="1:77" x14ac:dyDescent="0.25">
      <c r="A7" s="129" t="s">
        <v>128</v>
      </c>
      <c r="B7" s="130">
        <f t="shared" si="0"/>
        <v>13</v>
      </c>
      <c r="C7" s="126">
        <v>27</v>
      </c>
      <c r="D7" s="126">
        <v>28</v>
      </c>
      <c r="E7" s="126">
        <v>29</v>
      </c>
      <c r="F7" s="126">
        <v>30</v>
      </c>
      <c r="G7" s="126">
        <v>31</v>
      </c>
      <c r="H7" s="126">
        <v>32</v>
      </c>
      <c r="I7" s="126">
        <v>33</v>
      </c>
      <c r="J7" s="126">
        <v>34</v>
      </c>
      <c r="K7" s="126">
        <v>35</v>
      </c>
      <c r="L7" s="126">
        <v>36</v>
      </c>
      <c r="M7" s="126">
        <v>37</v>
      </c>
      <c r="N7" s="126">
        <v>38</v>
      </c>
      <c r="O7" s="126">
        <v>39</v>
      </c>
      <c r="P7" s="127"/>
      <c r="Q7" s="127"/>
      <c r="R7" s="127"/>
      <c r="S7" s="127"/>
      <c r="T7" s="127"/>
      <c r="U7" s="127"/>
      <c r="V7" s="127"/>
      <c r="W7" s="127"/>
      <c r="X7" s="127"/>
      <c r="Y7" s="127"/>
      <c r="Z7" s="127"/>
      <c r="AA7" s="127"/>
      <c r="AB7" s="127"/>
      <c r="AC7" s="127"/>
      <c r="AD7" s="127"/>
      <c r="AE7" s="127"/>
      <c r="AF7" s="127"/>
      <c r="AG7" s="127"/>
      <c r="AH7" s="127"/>
      <c r="AI7" s="127"/>
      <c r="AJ7" s="127"/>
      <c r="AK7" s="127"/>
      <c r="AL7" s="127"/>
      <c r="AM7" s="127"/>
      <c r="AN7" s="127"/>
      <c r="AO7" s="127"/>
      <c r="AP7" s="127"/>
      <c r="AQ7" s="127"/>
      <c r="AR7" s="127"/>
      <c r="AS7" s="127"/>
      <c r="AT7" s="127"/>
      <c r="AU7" s="127"/>
      <c r="AV7" s="127"/>
      <c r="AW7" s="127"/>
      <c r="AX7" s="127"/>
      <c r="AY7" s="127"/>
      <c r="AZ7" s="127"/>
      <c r="BA7" s="127"/>
      <c r="BB7" s="127"/>
      <c r="BC7" s="127"/>
      <c r="BD7" s="127"/>
      <c r="BE7" s="127"/>
      <c r="BF7" s="127"/>
      <c r="BG7" s="127"/>
      <c r="BH7" s="126">
        <v>27</v>
      </c>
      <c r="BI7" s="126">
        <v>36</v>
      </c>
      <c r="BJ7" s="126">
        <v>39</v>
      </c>
      <c r="BK7" s="126" t="s">
        <v>80</v>
      </c>
      <c r="BL7" s="127"/>
      <c r="BM7" s="127"/>
      <c r="BN7" s="127"/>
      <c r="BO7" s="126">
        <f t="shared" si="1"/>
        <v>1</v>
      </c>
      <c r="BP7" s="126">
        <f t="shared" si="1"/>
        <v>0</v>
      </c>
      <c r="BQ7" s="126">
        <f t="shared" si="1"/>
        <v>0</v>
      </c>
      <c r="BR7" s="126">
        <f t="shared" si="1"/>
        <v>0</v>
      </c>
      <c r="BS7" s="127"/>
      <c r="BT7" s="10" t="s">
        <v>122</v>
      </c>
      <c r="BU7" s="10" t="s">
        <v>123</v>
      </c>
      <c r="BV7" s="10" t="s">
        <v>121</v>
      </c>
      <c r="BW7" s="10" t="s">
        <v>125</v>
      </c>
      <c r="BY7" s="10">
        <v>2</v>
      </c>
    </row>
    <row r="8" spans="1:77" x14ac:dyDescent="0.25">
      <c r="A8" s="129" t="s">
        <v>129</v>
      </c>
      <c r="B8" s="130">
        <f t="shared" si="0"/>
        <v>3</v>
      </c>
      <c r="C8" s="126">
        <v>23</v>
      </c>
      <c r="D8" s="126">
        <v>24</v>
      </c>
      <c r="E8" s="126">
        <v>26</v>
      </c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27"/>
      <c r="X8" s="127"/>
      <c r="Y8" s="127"/>
      <c r="Z8" s="127"/>
      <c r="AA8" s="127"/>
      <c r="AB8" s="127"/>
      <c r="AC8" s="127"/>
      <c r="AD8" s="127"/>
      <c r="AE8" s="127"/>
      <c r="AF8" s="127"/>
      <c r="AG8" s="127"/>
      <c r="AH8" s="127"/>
      <c r="AI8" s="127"/>
      <c r="AJ8" s="127"/>
      <c r="AK8" s="127"/>
      <c r="AL8" s="127"/>
      <c r="AM8" s="127"/>
      <c r="AN8" s="127"/>
      <c r="AO8" s="127"/>
      <c r="AP8" s="127"/>
      <c r="AQ8" s="127"/>
      <c r="AR8" s="127"/>
      <c r="AS8" s="127"/>
      <c r="AT8" s="127"/>
      <c r="AU8" s="127"/>
      <c r="AV8" s="127"/>
      <c r="AW8" s="127"/>
      <c r="AX8" s="127"/>
      <c r="AY8" s="127"/>
      <c r="AZ8" s="127"/>
      <c r="BA8" s="127"/>
      <c r="BB8" s="127"/>
      <c r="BC8" s="127"/>
      <c r="BD8" s="127"/>
      <c r="BE8" s="127"/>
      <c r="BF8" s="127"/>
      <c r="BG8" s="127"/>
      <c r="BH8" s="126"/>
      <c r="BI8" s="126"/>
      <c r="BJ8" s="126"/>
      <c r="BK8" s="126" t="s">
        <v>80</v>
      </c>
      <c r="BL8" s="127"/>
      <c r="BM8" s="127"/>
      <c r="BN8" s="127"/>
      <c r="BO8" s="126">
        <f t="shared" si="1"/>
        <v>1</v>
      </c>
      <c r="BP8" s="126">
        <f t="shared" si="1"/>
        <v>0</v>
      </c>
      <c r="BQ8" s="126">
        <f t="shared" si="1"/>
        <v>0</v>
      </c>
      <c r="BR8" s="126">
        <f t="shared" si="1"/>
        <v>0</v>
      </c>
      <c r="BS8" s="127"/>
      <c r="BT8" s="10" t="s">
        <v>122</v>
      </c>
      <c r="BU8" s="10" t="s">
        <v>123</v>
      </c>
      <c r="BV8" s="10" t="s">
        <v>121</v>
      </c>
      <c r="BW8" s="10" t="s">
        <v>125</v>
      </c>
      <c r="BY8" s="10">
        <v>2</v>
      </c>
    </row>
    <row r="9" spans="1:77" x14ac:dyDescent="0.25">
      <c r="A9" s="129" t="s">
        <v>130</v>
      </c>
      <c r="B9" s="130">
        <f t="shared" si="0"/>
        <v>13</v>
      </c>
      <c r="C9" s="126">
        <v>36</v>
      </c>
      <c r="D9" s="126">
        <v>37</v>
      </c>
      <c r="E9" s="126">
        <v>38</v>
      </c>
      <c r="F9" s="126">
        <v>39</v>
      </c>
      <c r="G9" s="126">
        <v>40</v>
      </c>
      <c r="H9" s="126">
        <v>41</v>
      </c>
      <c r="I9" s="126">
        <v>42</v>
      </c>
      <c r="J9" s="126">
        <v>43</v>
      </c>
      <c r="K9" s="126">
        <v>44</v>
      </c>
      <c r="L9" s="126">
        <v>45</v>
      </c>
      <c r="M9" s="126">
        <v>46</v>
      </c>
      <c r="N9" s="126">
        <v>47</v>
      </c>
      <c r="O9" s="126">
        <v>48</v>
      </c>
      <c r="P9" s="127"/>
      <c r="Q9" s="127"/>
      <c r="R9" s="127"/>
      <c r="S9" s="127"/>
      <c r="T9" s="127"/>
      <c r="U9" s="127"/>
      <c r="V9" s="127"/>
      <c r="W9" s="127"/>
      <c r="X9" s="127"/>
      <c r="Y9" s="127"/>
      <c r="Z9" s="127"/>
      <c r="AA9" s="127"/>
      <c r="AB9" s="127"/>
      <c r="AC9" s="127"/>
      <c r="AD9" s="127"/>
      <c r="AE9" s="127"/>
      <c r="AF9" s="127"/>
      <c r="AG9" s="127"/>
      <c r="AH9" s="127"/>
      <c r="AI9" s="127"/>
      <c r="AJ9" s="127"/>
      <c r="AK9" s="127"/>
      <c r="AL9" s="127"/>
      <c r="AM9" s="127"/>
      <c r="AN9" s="127"/>
      <c r="AO9" s="127"/>
      <c r="AP9" s="127"/>
      <c r="AQ9" s="127"/>
      <c r="AR9" s="127"/>
      <c r="AS9" s="127"/>
      <c r="AT9" s="127"/>
      <c r="AU9" s="127"/>
      <c r="AV9" s="127"/>
      <c r="AW9" s="127"/>
      <c r="AX9" s="127"/>
      <c r="AY9" s="127"/>
      <c r="AZ9" s="127"/>
      <c r="BA9" s="127"/>
      <c r="BB9" s="127"/>
      <c r="BC9" s="127"/>
      <c r="BD9" s="127"/>
      <c r="BE9" s="127"/>
      <c r="BF9" s="127"/>
      <c r="BG9" s="127"/>
      <c r="BH9" s="126">
        <v>36</v>
      </c>
      <c r="BI9" s="126">
        <v>43</v>
      </c>
      <c r="BJ9" s="126">
        <v>48</v>
      </c>
      <c r="BK9" s="126" t="s">
        <v>80</v>
      </c>
      <c r="BL9" s="127"/>
      <c r="BM9" s="127"/>
      <c r="BN9" s="127"/>
      <c r="BO9" s="126">
        <f t="shared" si="1"/>
        <v>1</v>
      </c>
      <c r="BP9" s="126">
        <f t="shared" si="1"/>
        <v>0</v>
      </c>
      <c r="BQ9" s="126">
        <f t="shared" si="1"/>
        <v>0</v>
      </c>
      <c r="BR9" s="126">
        <f t="shared" si="1"/>
        <v>0</v>
      </c>
      <c r="BS9" s="127"/>
      <c r="BT9" s="10" t="s">
        <v>122</v>
      </c>
      <c r="BU9" s="10" t="s">
        <v>123</v>
      </c>
      <c r="BV9" s="10" t="s">
        <v>121</v>
      </c>
      <c r="BW9" s="10" t="s">
        <v>125</v>
      </c>
      <c r="BY9" s="10">
        <v>2</v>
      </c>
    </row>
    <row r="10" spans="1:77" x14ac:dyDescent="0.25">
      <c r="A10" s="129" t="s">
        <v>131</v>
      </c>
      <c r="B10" s="130">
        <f t="shared" si="0"/>
        <v>13</v>
      </c>
      <c r="C10" s="126">
        <v>45</v>
      </c>
      <c r="D10" s="126">
        <v>46</v>
      </c>
      <c r="E10" s="126">
        <v>47</v>
      </c>
      <c r="F10" s="126">
        <v>48</v>
      </c>
      <c r="G10" s="126">
        <v>49</v>
      </c>
      <c r="H10" s="126">
        <v>50</v>
      </c>
      <c r="I10" s="126">
        <v>51</v>
      </c>
      <c r="J10" s="126">
        <v>52</v>
      </c>
      <c r="K10" s="126">
        <v>53</v>
      </c>
      <c r="L10" s="126">
        <v>54</v>
      </c>
      <c r="M10" s="126">
        <v>55</v>
      </c>
      <c r="N10" s="126">
        <v>56</v>
      </c>
      <c r="O10" s="126">
        <v>57</v>
      </c>
      <c r="P10" s="127"/>
      <c r="Q10" s="127"/>
      <c r="R10" s="127"/>
      <c r="S10" s="127"/>
      <c r="T10" s="127"/>
      <c r="U10" s="127"/>
      <c r="V10" s="127"/>
      <c r="W10" s="127"/>
      <c r="X10" s="127"/>
      <c r="Y10" s="127"/>
      <c r="Z10" s="127"/>
      <c r="AA10" s="127"/>
      <c r="AB10" s="127"/>
      <c r="AC10" s="127"/>
      <c r="AD10" s="127"/>
      <c r="AE10" s="127"/>
      <c r="AF10" s="127"/>
      <c r="AG10" s="127"/>
      <c r="AH10" s="127"/>
      <c r="AI10" s="127"/>
      <c r="AJ10" s="127"/>
      <c r="AK10" s="127"/>
      <c r="AL10" s="127"/>
      <c r="AM10" s="127"/>
      <c r="AN10" s="127"/>
      <c r="AO10" s="127"/>
      <c r="AP10" s="127"/>
      <c r="AQ10" s="127"/>
      <c r="AR10" s="127"/>
      <c r="AS10" s="127"/>
      <c r="AT10" s="127"/>
      <c r="AU10" s="127"/>
      <c r="AV10" s="127"/>
      <c r="AW10" s="127"/>
      <c r="AX10" s="127"/>
      <c r="AY10" s="127"/>
      <c r="AZ10" s="127"/>
      <c r="BA10" s="127"/>
      <c r="BB10" s="127"/>
      <c r="BC10" s="127"/>
      <c r="BD10" s="127"/>
      <c r="BE10" s="127"/>
      <c r="BF10" s="127"/>
      <c r="BG10" s="127"/>
      <c r="BH10" s="126">
        <v>45</v>
      </c>
      <c r="BI10" s="126">
        <v>51</v>
      </c>
      <c r="BJ10" s="126">
        <v>57</v>
      </c>
      <c r="BK10" s="126" t="s">
        <v>80</v>
      </c>
      <c r="BL10" s="127"/>
      <c r="BM10" s="127"/>
      <c r="BN10" s="127"/>
      <c r="BO10" s="126">
        <f t="shared" si="1"/>
        <v>1</v>
      </c>
      <c r="BP10" s="126">
        <f t="shared" si="1"/>
        <v>0</v>
      </c>
      <c r="BQ10" s="126">
        <f t="shared" si="1"/>
        <v>0</v>
      </c>
      <c r="BR10" s="126">
        <f t="shared" si="1"/>
        <v>0</v>
      </c>
      <c r="BS10" s="127"/>
      <c r="BT10" s="10" t="s">
        <v>122</v>
      </c>
      <c r="BU10" s="10" t="s">
        <v>123</v>
      </c>
      <c r="BV10" s="10" t="s">
        <v>121</v>
      </c>
      <c r="BW10" s="10" t="s">
        <v>125</v>
      </c>
      <c r="BY10" s="10">
        <v>2</v>
      </c>
    </row>
    <row r="11" spans="1:77" x14ac:dyDescent="0.25">
      <c r="A11" s="129" t="s">
        <v>132</v>
      </c>
      <c r="B11" s="130">
        <f t="shared" si="0"/>
        <v>26</v>
      </c>
      <c r="C11" s="126">
        <v>1</v>
      </c>
      <c r="D11" s="126">
        <v>2</v>
      </c>
      <c r="E11" s="126">
        <v>3</v>
      </c>
      <c r="F11" s="126">
        <v>4</v>
      </c>
      <c r="G11" s="126">
        <v>5</v>
      </c>
      <c r="H11" s="126">
        <v>6</v>
      </c>
      <c r="I11" s="126">
        <v>7</v>
      </c>
      <c r="J11" s="126">
        <v>8</v>
      </c>
      <c r="K11" s="126">
        <v>9</v>
      </c>
      <c r="L11" s="126">
        <v>10</v>
      </c>
      <c r="M11" s="126">
        <v>11</v>
      </c>
      <c r="N11" s="126">
        <v>12</v>
      </c>
      <c r="O11" s="126">
        <v>13</v>
      </c>
      <c r="P11" s="126">
        <v>14</v>
      </c>
      <c r="Q11" s="126">
        <v>15</v>
      </c>
      <c r="R11" s="126">
        <v>16</v>
      </c>
      <c r="S11" s="126">
        <v>17</v>
      </c>
      <c r="T11" s="126">
        <v>18</v>
      </c>
      <c r="U11" s="126">
        <v>19</v>
      </c>
      <c r="V11" s="126">
        <v>20</v>
      </c>
      <c r="W11" s="126">
        <v>21</v>
      </c>
      <c r="X11" s="126">
        <v>22</v>
      </c>
      <c r="Y11" s="126">
        <v>23</v>
      </c>
      <c r="Z11" s="126">
        <v>24</v>
      </c>
      <c r="AA11" s="126">
        <v>25</v>
      </c>
      <c r="AB11" s="126">
        <v>26</v>
      </c>
      <c r="AC11" s="127"/>
      <c r="AD11" s="127"/>
      <c r="AE11" s="127"/>
      <c r="AF11" s="127"/>
      <c r="AG11" s="127"/>
      <c r="AH11" s="127"/>
      <c r="AI11" s="127"/>
      <c r="AJ11" s="127"/>
      <c r="AK11" s="127"/>
      <c r="AL11" s="127"/>
      <c r="AM11" s="127"/>
      <c r="AN11" s="127"/>
      <c r="AO11" s="127"/>
      <c r="AP11" s="127"/>
      <c r="AQ11" s="127"/>
      <c r="AR11" s="127"/>
      <c r="AS11" s="127"/>
      <c r="AT11" s="127"/>
      <c r="AU11" s="127"/>
      <c r="AV11" s="127"/>
      <c r="AW11" s="127"/>
      <c r="AX11" s="127"/>
      <c r="AY11" s="127"/>
      <c r="AZ11" s="127"/>
      <c r="BA11" s="127"/>
      <c r="BB11" s="127"/>
      <c r="BC11" s="127"/>
      <c r="BD11" s="127"/>
      <c r="BE11" s="127"/>
      <c r="BF11" s="127"/>
      <c r="BG11" s="127"/>
      <c r="BH11" s="126">
        <v>1</v>
      </c>
      <c r="BI11" s="126">
        <v>17</v>
      </c>
      <c r="BJ11" s="126">
        <v>26</v>
      </c>
      <c r="BK11" s="126" t="s">
        <v>80</v>
      </c>
      <c r="BL11" s="127"/>
      <c r="BM11" s="127"/>
      <c r="BN11" s="127"/>
      <c r="BO11" s="126">
        <f t="shared" si="1"/>
        <v>1</v>
      </c>
      <c r="BP11" s="126">
        <f t="shared" si="1"/>
        <v>0</v>
      </c>
      <c r="BQ11" s="126">
        <f t="shared" si="1"/>
        <v>0</v>
      </c>
      <c r="BR11" s="126">
        <f t="shared" si="1"/>
        <v>0</v>
      </c>
      <c r="BS11" s="127"/>
      <c r="BT11" s="132" t="s">
        <v>133</v>
      </c>
      <c r="BU11" s="132" t="s">
        <v>134</v>
      </c>
      <c r="BV11" s="10" t="s">
        <v>120</v>
      </c>
      <c r="BW11" s="10" t="s">
        <v>125</v>
      </c>
      <c r="BY11" s="10">
        <v>2</v>
      </c>
    </row>
    <row r="12" spans="1:77" x14ac:dyDescent="0.25">
      <c r="A12" s="129" t="s">
        <v>135</v>
      </c>
      <c r="B12" s="130">
        <f>IF(A12="","",COUNTA(C12:BE12))</f>
        <v>11</v>
      </c>
      <c r="C12" s="126">
        <v>1</v>
      </c>
      <c r="D12" s="126">
        <v>2</v>
      </c>
      <c r="E12" s="126">
        <v>3</v>
      </c>
      <c r="F12" s="126">
        <v>4</v>
      </c>
      <c r="G12" s="126">
        <v>5</v>
      </c>
      <c r="H12" s="126">
        <v>6</v>
      </c>
      <c r="I12" s="126">
        <v>7</v>
      </c>
      <c r="J12" s="126">
        <v>8</v>
      </c>
      <c r="K12" s="126">
        <v>9</v>
      </c>
      <c r="L12" s="126">
        <v>10</v>
      </c>
      <c r="M12" s="127">
        <v>11</v>
      </c>
      <c r="N12" s="127"/>
      <c r="O12" s="127"/>
      <c r="P12" s="127"/>
      <c r="Q12" s="127"/>
      <c r="R12" s="127"/>
      <c r="S12" s="127"/>
      <c r="T12" s="127"/>
      <c r="U12" s="127"/>
      <c r="V12" s="127"/>
      <c r="W12" s="127"/>
      <c r="X12" s="127"/>
      <c r="Y12" s="127"/>
      <c r="Z12" s="127"/>
      <c r="AA12" s="127"/>
      <c r="AB12" s="127"/>
      <c r="AC12" s="127"/>
      <c r="AD12" s="127"/>
      <c r="AE12" s="127"/>
      <c r="AF12" s="127"/>
      <c r="AG12" s="127"/>
      <c r="AH12" s="127"/>
      <c r="AI12" s="127"/>
      <c r="AJ12" s="127"/>
      <c r="AK12" s="127"/>
      <c r="AL12" s="127"/>
      <c r="AM12" s="127"/>
      <c r="AN12" s="127"/>
      <c r="AO12" s="127"/>
      <c r="AP12" s="127"/>
      <c r="AQ12" s="127"/>
      <c r="AR12" s="127"/>
      <c r="AS12" s="127"/>
      <c r="AT12" s="127"/>
      <c r="AU12" s="127"/>
      <c r="AV12" s="127"/>
      <c r="AW12" s="127"/>
      <c r="AX12" s="127"/>
      <c r="AY12" s="127"/>
      <c r="AZ12" s="127"/>
      <c r="BA12" s="127"/>
      <c r="BB12" s="127"/>
      <c r="BC12" s="127"/>
      <c r="BD12" s="127"/>
      <c r="BE12" s="127"/>
      <c r="BF12" s="126"/>
      <c r="BG12" s="126"/>
      <c r="BH12" s="126"/>
      <c r="BI12" s="127"/>
      <c r="BJ12" s="127"/>
      <c r="BK12" s="126" t="s">
        <v>82</v>
      </c>
      <c r="BL12" s="126" t="s">
        <v>83</v>
      </c>
      <c r="BM12" s="127"/>
      <c r="BN12" s="127"/>
      <c r="BO12" s="126">
        <f t="shared" si="1"/>
        <v>0</v>
      </c>
      <c r="BP12" s="126">
        <f t="shared" si="1"/>
        <v>0</v>
      </c>
      <c r="BQ12" s="126">
        <f t="shared" si="1"/>
        <v>1</v>
      </c>
      <c r="BR12" s="126">
        <f t="shared" si="1"/>
        <v>1</v>
      </c>
      <c r="BS12" s="127"/>
      <c r="BT12" s="132" t="s">
        <v>136</v>
      </c>
      <c r="BU12" s="132" t="s">
        <v>137</v>
      </c>
      <c r="BV12" s="10" t="s">
        <v>125</v>
      </c>
      <c r="BW12" s="10" t="s">
        <v>120</v>
      </c>
      <c r="BY12" s="10">
        <v>2</v>
      </c>
    </row>
    <row r="13" spans="1:77" x14ac:dyDescent="0.25">
      <c r="A13" s="129" t="s">
        <v>138</v>
      </c>
      <c r="B13" s="130">
        <f t="shared" ref="B13:B49" si="2">IF(A13="","",COUNTA(C13:BG13))</f>
        <v>7</v>
      </c>
      <c r="C13" s="126">
        <v>9</v>
      </c>
      <c r="D13" s="126">
        <v>10</v>
      </c>
      <c r="E13" s="126">
        <v>11</v>
      </c>
      <c r="F13" s="126">
        <v>12</v>
      </c>
      <c r="G13" s="126">
        <v>13</v>
      </c>
      <c r="H13" s="126">
        <v>14</v>
      </c>
      <c r="I13" s="126">
        <v>15</v>
      </c>
      <c r="J13" s="127"/>
      <c r="K13" s="127"/>
      <c r="L13" s="127"/>
      <c r="M13" s="127"/>
      <c r="N13" s="127"/>
      <c r="O13" s="127"/>
      <c r="P13" s="127"/>
      <c r="Q13" s="127"/>
      <c r="R13" s="127"/>
      <c r="S13" s="127"/>
      <c r="T13" s="127"/>
      <c r="U13" s="127"/>
      <c r="V13" s="127"/>
      <c r="W13" s="127"/>
      <c r="X13" s="127"/>
      <c r="Y13" s="127"/>
      <c r="Z13" s="127"/>
      <c r="AA13" s="127"/>
      <c r="AB13" s="127"/>
      <c r="AC13" s="127"/>
      <c r="AD13" s="127"/>
      <c r="AE13" s="127"/>
      <c r="AF13" s="127"/>
      <c r="AG13" s="127"/>
      <c r="AH13" s="127"/>
      <c r="AI13" s="127"/>
      <c r="AJ13" s="127"/>
      <c r="AK13" s="127"/>
      <c r="AL13" s="127"/>
      <c r="AM13" s="127"/>
      <c r="AN13" s="127"/>
      <c r="AO13" s="127"/>
      <c r="AP13" s="127"/>
      <c r="AQ13" s="127"/>
      <c r="AR13" s="127"/>
      <c r="AS13" s="127"/>
      <c r="AT13" s="127"/>
      <c r="AU13" s="127"/>
      <c r="AV13" s="127"/>
      <c r="AW13" s="127"/>
      <c r="AX13" s="127"/>
      <c r="AY13" s="127"/>
      <c r="AZ13" s="127"/>
      <c r="BA13" s="127"/>
      <c r="BB13" s="127"/>
      <c r="BC13" s="127"/>
      <c r="BD13" s="127"/>
      <c r="BE13" s="127"/>
      <c r="BF13" s="127"/>
      <c r="BG13" s="127"/>
      <c r="BH13" s="126">
        <v>9</v>
      </c>
      <c r="BI13" s="126">
        <v>12</v>
      </c>
      <c r="BJ13" s="126">
        <v>15</v>
      </c>
      <c r="BK13" s="126" t="s">
        <v>82</v>
      </c>
      <c r="BL13" s="126" t="s">
        <v>83</v>
      </c>
      <c r="BM13" s="127"/>
      <c r="BN13" s="127"/>
      <c r="BO13" s="126">
        <f t="shared" si="1"/>
        <v>0</v>
      </c>
      <c r="BP13" s="126">
        <f t="shared" si="1"/>
        <v>0</v>
      </c>
      <c r="BQ13" s="126">
        <f t="shared" si="1"/>
        <v>1</v>
      </c>
      <c r="BR13" s="126">
        <f t="shared" si="1"/>
        <v>1</v>
      </c>
      <c r="BS13" s="127"/>
      <c r="BT13" s="10" t="s">
        <v>122</v>
      </c>
      <c r="BU13" s="10" t="s">
        <v>123</v>
      </c>
      <c r="BV13" s="10" t="s">
        <v>125</v>
      </c>
      <c r="BW13" s="10" t="s">
        <v>120</v>
      </c>
      <c r="BY13" s="10">
        <v>2</v>
      </c>
    </row>
    <row r="14" spans="1:77" x14ac:dyDescent="0.25">
      <c r="A14" s="129" t="s">
        <v>139</v>
      </c>
      <c r="B14" s="130">
        <f t="shared" si="2"/>
        <v>7</v>
      </c>
      <c r="C14" s="126">
        <v>16</v>
      </c>
      <c r="D14" s="126">
        <v>17</v>
      </c>
      <c r="E14" s="126">
        <v>18</v>
      </c>
      <c r="F14" s="126">
        <v>19</v>
      </c>
      <c r="G14" s="126">
        <v>20</v>
      </c>
      <c r="H14" s="126">
        <v>21</v>
      </c>
      <c r="I14" s="126">
        <v>22</v>
      </c>
      <c r="J14" s="127"/>
      <c r="K14" s="127"/>
      <c r="L14" s="127"/>
      <c r="M14" s="127"/>
      <c r="N14" s="127"/>
      <c r="O14" s="127"/>
      <c r="P14" s="127"/>
      <c r="Q14" s="127"/>
      <c r="R14" s="127"/>
      <c r="S14" s="127"/>
      <c r="T14" s="127"/>
      <c r="U14" s="127"/>
      <c r="V14" s="127"/>
      <c r="W14" s="127"/>
      <c r="X14" s="127"/>
      <c r="Y14" s="127"/>
      <c r="Z14" s="127"/>
      <c r="AA14" s="127"/>
      <c r="AB14" s="127"/>
      <c r="AC14" s="127"/>
      <c r="AD14" s="127"/>
      <c r="AE14" s="127"/>
      <c r="AF14" s="127"/>
      <c r="AG14" s="127"/>
      <c r="AH14" s="127"/>
      <c r="AI14" s="127"/>
      <c r="AJ14" s="127"/>
      <c r="AK14" s="127"/>
      <c r="AL14" s="127"/>
      <c r="AM14" s="127"/>
      <c r="AN14" s="127"/>
      <c r="AO14" s="127"/>
      <c r="AP14" s="127"/>
      <c r="AQ14" s="127"/>
      <c r="AR14" s="127"/>
      <c r="AS14" s="127"/>
      <c r="AT14" s="127"/>
      <c r="AU14" s="127"/>
      <c r="AV14" s="127"/>
      <c r="AW14" s="127"/>
      <c r="AX14" s="127"/>
      <c r="AY14" s="127"/>
      <c r="AZ14" s="127"/>
      <c r="BA14" s="127"/>
      <c r="BB14" s="127"/>
      <c r="BC14" s="127"/>
      <c r="BD14" s="127"/>
      <c r="BE14" s="127"/>
      <c r="BF14" s="127"/>
      <c r="BG14" s="127"/>
      <c r="BH14" s="126">
        <v>16</v>
      </c>
      <c r="BI14" s="126">
        <v>19</v>
      </c>
      <c r="BJ14" s="126">
        <v>22</v>
      </c>
      <c r="BK14" s="126" t="s">
        <v>82</v>
      </c>
      <c r="BL14" s="126" t="s">
        <v>83</v>
      </c>
      <c r="BM14" s="127"/>
      <c r="BN14" s="127"/>
      <c r="BO14" s="126">
        <f t="shared" si="1"/>
        <v>0</v>
      </c>
      <c r="BP14" s="126">
        <f t="shared" si="1"/>
        <v>0</v>
      </c>
      <c r="BQ14" s="126">
        <f t="shared" si="1"/>
        <v>1</v>
      </c>
      <c r="BR14" s="126">
        <f t="shared" si="1"/>
        <v>1</v>
      </c>
      <c r="BS14" s="127"/>
      <c r="BT14" s="10" t="s">
        <v>122</v>
      </c>
      <c r="BU14" s="10" t="s">
        <v>123</v>
      </c>
      <c r="BV14" s="10" t="s">
        <v>125</v>
      </c>
      <c r="BW14" s="10" t="s">
        <v>120</v>
      </c>
      <c r="BY14" s="10">
        <v>2</v>
      </c>
    </row>
    <row r="15" spans="1:77" ht="45" x14ac:dyDescent="0.25">
      <c r="A15" s="127" t="s">
        <v>140</v>
      </c>
      <c r="B15" s="130">
        <f t="shared" si="2"/>
        <v>5</v>
      </c>
      <c r="C15" s="126">
        <v>1</v>
      </c>
      <c r="D15" s="126">
        <v>2</v>
      </c>
      <c r="E15" s="126">
        <v>3</v>
      </c>
      <c r="F15" s="126">
        <v>4</v>
      </c>
      <c r="G15" s="126">
        <v>5</v>
      </c>
      <c r="H15" s="127"/>
      <c r="I15" s="127"/>
      <c r="J15" s="127"/>
      <c r="K15" s="127"/>
      <c r="L15" s="127"/>
      <c r="M15" s="127"/>
      <c r="N15" s="127"/>
      <c r="O15" s="127"/>
      <c r="P15" s="127"/>
      <c r="Q15" s="127"/>
      <c r="R15" s="127"/>
      <c r="S15" s="127"/>
      <c r="T15" s="127"/>
      <c r="U15" s="127"/>
      <c r="V15" s="127"/>
      <c r="W15" s="127"/>
      <c r="X15" s="127"/>
      <c r="Y15" s="127"/>
      <c r="Z15" s="127"/>
      <c r="AA15" s="127"/>
      <c r="AB15" s="127"/>
      <c r="AC15" s="127"/>
      <c r="AD15" s="127"/>
      <c r="AE15" s="127"/>
      <c r="AF15" s="127"/>
      <c r="AG15" s="127"/>
      <c r="AH15" s="127"/>
      <c r="AI15" s="127"/>
      <c r="AJ15" s="127"/>
      <c r="AK15" s="127"/>
      <c r="AL15" s="127"/>
      <c r="AM15" s="127"/>
      <c r="AN15" s="127"/>
      <c r="AO15" s="127"/>
      <c r="AP15" s="127"/>
      <c r="AQ15" s="127"/>
      <c r="AR15" s="127"/>
      <c r="AS15" s="127"/>
      <c r="AT15" s="127"/>
      <c r="AU15" s="127"/>
      <c r="AV15" s="127"/>
      <c r="AW15" s="127"/>
      <c r="AX15" s="127"/>
      <c r="AY15" s="127"/>
      <c r="AZ15" s="127"/>
      <c r="BA15" s="127"/>
      <c r="BB15" s="127"/>
      <c r="BC15" s="127"/>
      <c r="BD15" s="127"/>
      <c r="BE15" s="127"/>
      <c r="BF15" s="127"/>
      <c r="BG15" s="127"/>
      <c r="BH15" s="127"/>
      <c r="BI15" s="127"/>
      <c r="BJ15" s="127"/>
      <c r="BK15" s="126" t="s">
        <v>80</v>
      </c>
      <c r="BL15" s="126" t="s">
        <v>81</v>
      </c>
      <c r="BM15" s="127"/>
      <c r="BN15" s="127"/>
      <c r="BO15" s="126">
        <f t="shared" si="1"/>
        <v>1</v>
      </c>
      <c r="BP15" s="126">
        <f t="shared" si="1"/>
        <v>1</v>
      </c>
      <c r="BQ15" s="126">
        <f t="shared" si="1"/>
        <v>0</v>
      </c>
      <c r="BR15" s="126">
        <f t="shared" si="1"/>
        <v>0</v>
      </c>
      <c r="BS15" s="127"/>
      <c r="BT15" s="132" t="s">
        <v>141</v>
      </c>
      <c r="BU15" s="132" t="s">
        <v>142</v>
      </c>
      <c r="BV15" s="10" t="s">
        <v>120</v>
      </c>
      <c r="BW15" s="10" t="s">
        <v>125</v>
      </c>
      <c r="BX15" s="133" t="s">
        <v>143</v>
      </c>
      <c r="BY15" s="10">
        <v>2</v>
      </c>
    </row>
    <row r="16" spans="1:77" x14ac:dyDescent="0.25">
      <c r="A16" s="129" t="s">
        <v>144</v>
      </c>
      <c r="B16" s="130">
        <f t="shared" si="2"/>
        <v>5</v>
      </c>
      <c r="C16" s="126">
        <v>19</v>
      </c>
      <c r="D16" s="126">
        <v>20</v>
      </c>
      <c r="E16" s="126">
        <v>21</v>
      </c>
      <c r="F16" s="126">
        <v>22</v>
      </c>
      <c r="G16" s="126">
        <v>23</v>
      </c>
      <c r="H16" s="127"/>
      <c r="I16" s="127"/>
      <c r="J16" s="127"/>
      <c r="K16" s="127"/>
      <c r="L16" s="127"/>
      <c r="M16" s="127"/>
      <c r="N16" s="127"/>
      <c r="O16" s="127"/>
      <c r="P16" s="127"/>
      <c r="Q16" s="127"/>
      <c r="R16" s="127"/>
      <c r="S16" s="127"/>
      <c r="T16" s="127"/>
      <c r="U16" s="127"/>
      <c r="V16" s="127"/>
      <c r="W16" s="127"/>
      <c r="X16" s="127"/>
      <c r="Y16" s="127"/>
      <c r="Z16" s="127"/>
      <c r="AA16" s="127"/>
      <c r="AB16" s="127"/>
      <c r="AC16" s="127"/>
      <c r="AD16" s="127"/>
      <c r="AE16" s="127"/>
      <c r="AF16" s="127"/>
      <c r="AG16" s="127"/>
      <c r="AH16" s="127"/>
      <c r="AI16" s="127"/>
      <c r="AJ16" s="127"/>
      <c r="AK16" s="127"/>
      <c r="AL16" s="127"/>
      <c r="AM16" s="127"/>
      <c r="AN16" s="127"/>
      <c r="AO16" s="127"/>
      <c r="AP16" s="127"/>
      <c r="AQ16" s="127"/>
      <c r="AR16" s="127"/>
      <c r="AS16" s="127"/>
      <c r="AT16" s="127"/>
      <c r="AU16" s="127"/>
      <c r="AV16" s="127"/>
      <c r="AW16" s="127"/>
      <c r="AX16" s="127"/>
      <c r="AY16" s="127"/>
      <c r="AZ16" s="127"/>
      <c r="BA16" s="127"/>
      <c r="BB16" s="127"/>
      <c r="BC16" s="127"/>
      <c r="BD16" s="127"/>
      <c r="BE16" s="127"/>
      <c r="BF16" s="127"/>
      <c r="BG16" s="127"/>
      <c r="BH16" s="126"/>
      <c r="BI16" s="126"/>
      <c r="BJ16" s="126"/>
      <c r="BK16" s="126" t="s">
        <v>80</v>
      </c>
      <c r="BL16" s="126" t="s">
        <v>81</v>
      </c>
      <c r="BM16" s="127"/>
      <c r="BN16" s="127"/>
      <c r="BO16" s="126">
        <f t="shared" si="1"/>
        <v>1</v>
      </c>
      <c r="BP16" s="126">
        <f t="shared" si="1"/>
        <v>1</v>
      </c>
      <c r="BQ16" s="126">
        <f t="shared" si="1"/>
        <v>0</v>
      </c>
      <c r="BR16" s="126">
        <f t="shared" si="1"/>
        <v>0</v>
      </c>
      <c r="BS16" s="127"/>
      <c r="BT16" s="132" t="s">
        <v>145</v>
      </c>
      <c r="BU16" s="132" t="s">
        <v>146</v>
      </c>
      <c r="BV16" s="10" t="s">
        <v>120</v>
      </c>
      <c r="BW16" s="10" t="s">
        <v>125</v>
      </c>
      <c r="BY16" s="10">
        <v>2</v>
      </c>
    </row>
    <row r="17" spans="1:77" x14ac:dyDescent="0.25">
      <c r="A17" s="129" t="s">
        <v>147</v>
      </c>
      <c r="B17" s="130">
        <f t="shared" si="2"/>
        <v>11</v>
      </c>
      <c r="C17" s="126">
        <v>1</v>
      </c>
      <c r="D17" s="126">
        <v>2</v>
      </c>
      <c r="E17" s="126">
        <v>3</v>
      </c>
      <c r="F17" s="126">
        <v>4</v>
      </c>
      <c r="G17" s="126">
        <v>5</v>
      </c>
      <c r="H17" s="126">
        <v>6</v>
      </c>
      <c r="I17" s="126">
        <v>7</v>
      </c>
      <c r="J17" s="126">
        <v>8</v>
      </c>
      <c r="K17" s="126">
        <v>9</v>
      </c>
      <c r="L17" s="126">
        <v>10</v>
      </c>
      <c r="M17" s="126">
        <v>11</v>
      </c>
      <c r="N17" s="127"/>
      <c r="O17" s="127"/>
      <c r="P17" s="127"/>
      <c r="Q17" s="127"/>
      <c r="R17" s="127"/>
      <c r="S17" s="127"/>
      <c r="T17" s="127"/>
      <c r="U17" s="127"/>
      <c r="V17" s="127"/>
      <c r="W17" s="127"/>
      <c r="X17" s="127"/>
      <c r="Y17" s="127"/>
      <c r="Z17" s="127"/>
      <c r="AA17" s="127"/>
      <c r="AB17" s="127"/>
      <c r="AC17" s="127"/>
      <c r="AD17" s="127"/>
      <c r="AE17" s="127"/>
      <c r="AF17" s="127"/>
      <c r="AG17" s="127"/>
      <c r="AH17" s="127"/>
      <c r="AI17" s="127"/>
      <c r="AJ17" s="127"/>
      <c r="AK17" s="127"/>
      <c r="AL17" s="127"/>
      <c r="AM17" s="127"/>
      <c r="AN17" s="127"/>
      <c r="AO17" s="127"/>
      <c r="AP17" s="127"/>
      <c r="AQ17" s="127"/>
      <c r="AR17" s="127"/>
      <c r="AS17" s="127"/>
      <c r="AT17" s="127"/>
      <c r="AU17" s="127"/>
      <c r="AV17" s="127"/>
      <c r="AW17" s="127"/>
      <c r="AX17" s="127"/>
      <c r="AY17" s="127"/>
      <c r="AZ17" s="127"/>
      <c r="BA17" s="127"/>
      <c r="BB17" s="127"/>
      <c r="BC17" s="127"/>
      <c r="BD17" s="127"/>
      <c r="BE17" s="127"/>
      <c r="BF17" s="127"/>
      <c r="BG17" s="127"/>
      <c r="BH17" s="126"/>
      <c r="BI17" s="126"/>
      <c r="BJ17" s="126"/>
      <c r="BK17" s="126" t="s">
        <v>80</v>
      </c>
      <c r="BL17" s="126" t="s">
        <v>81</v>
      </c>
      <c r="BM17" s="127"/>
      <c r="BN17" s="127"/>
      <c r="BO17" s="126">
        <f t="shared" si="1"/>
        <v>1</v>
      </c>
      <c r="BP17" s="126">
        <f t="shared" si="1"/>
        <v>1</v>
      </c>
      <c r="BQ17" s="126">
        <f t="shared" si="1"/>
        <v>0</v>
      </c>
      <c r="BR17" s="126">
        <f t="shared" si="1"/>
        <v>0</v>
      </c>
      <c r="BS17" s="127"/>
      <c r="BT17" s="132" t="s">
        <v>145</v>
      </c>
      <c r="BU17" s="132" t="s">
        <v>146</v>
      </c>
      <c r="BV17" s="10" t="s">
        <v>120</v>
      </c>
      <c r="BW17" s="10" t="s">
        <v>125</v>
      </c>
      <c r="BY17" s="10">
        <v>2</v>
      </c>
    </row>
    <row r="18" spans="1:77" x14ac:dyDescent="0.25">
      <c r="A18" s="129" t="s">
        <v>148</v>
      </c>
      <c r="B18" s="130">
        <f t="shared" si="2"/>
        <v>8</v>
      </c>
      <c r="C18" s="126">
        <v>1</v>
      </c>
      <c r="D18" s="126">
        <v>2</v>
      </c>
      <c r="E18" s="126">
        <v>3</v>
      </c>
      <c r="F18" s="126">
        <v>4</v>
      </c>
      <c r="G18" s="126">
        <v>5</v>
      </c>
      <c r="H18" s="126">
        <v>6</v>
      </c>
      <c r="I18" s="126">
        <v>7</v>
      </c>
      <c r="J18" s="126">
        <v>8</v>
      </c>
      <c r="K18" s="127"/>
      <c r="L18" s="127"/>
      <c r="M18" s="127"/>
      <c r="N18" s="127"/>
      <c r="O18" s="127"/>
      <c r="P18" s="127"/>
      <c r="Q18" s="127"/>
      <c r="R18" s="127"/>
      <c r="S18" s="127"/>
      <c r="T18" s="127"/>
      <c r="U18" s="127"/>
      <c r="V18" s="127"/>
      <c r="W18" s="127"/>
      <c r="X18" s="127"/>
      <c r="Y18" s="127"/>
      <c r="Z18" s="127"/>
      <c r="AA18" s="127"/>
      <c r="AB18" s="127"/>
      <c r="AC18" s="127"/>
      <c r="AD18" s="127"/>
      <c r="AE18" s="127"/>
      <c r="AF18" s="127"/>
      <c r="AG18" s="127"/>
      <c r="AH18" s="127"/>
      <c r="AI18" s="127"/>
      <c r="AJ18" s="127"/>
      <c r="AK18" s="127"/>
      <c r="AL18" s="127"/>
      <c r="AM18" s="127"/>
      <c r="AN18" s="127"/>
      <c r="AO18" s="127"/>
      <c r="AP18" s="127"/>
      <c r="AQ18" s="127"/>
      <c r="AR18" s="127"/>
      <c r="AS18" s="127"/>
      <c r="AT18" s="127"/>
      <c r="AU18" s="127"/>
      <c r="AV18" s="127"/>
      <c r="AW18" s="127"/>
      <c r="AX18" s="127"/>
      <c r="AY18" s="127"/>
      <c r="AZ18" s="127"/>
      <c r="BA18" s="127"/>
      <c r="BB18" s="127"/>
      <c r="BC18" s="127"/>
      <c r="BD18" s="127"/>
      <c r="BE18" s="127"/>
      <c r="BF18" s="127"/>
      <c r="BG18" s="127"/>
      <c r="BH18" s="126"/>
      <c r="BI18" s="126"/>
      <c r="BJ18" s="126"/>
      <c r="BK18" s="126" t="s">
        <v>80</v>
      </c>
      <c r="BL18" s="126" t="s">
        <v>81</v>
      </c>
      <c r="BM18" s="127"/>
      <c r="BN18" s="127"/>
      <c r="BO18" s="126">
        <f t="shared" si="1"/>
        <v>1</v>
      </c>
      <c r="BP18" s="126">
        <f t="shared" si="1"/>
        <v>1</v>
      </c>
      <c r="BQ18" s="126">
        <f t="shared" si="1"/>
        <v>0</v>
      </c>
      <c r="BR18" s="126">
        <f t="shared" si="1"/>
        <v>0</v>
      </c>
      <c r="BS18" s="127"/>
      <c r="BT18" s="132" t="s">
        <v>149</v>
      </c>
      <c r="BU18" s="132" t="s">
        <v>150</v>
      </c>
      <c r="BV18" s="10" t="s">
        <v>120</v>
      </c>
      <c r="BW18" s="10" t="s">
        <v>125</v>
      </c>
      <c r="BY18" s="10">
        <v>2</v>
      </c>
    </row>
    <row r="19" spans="1:77" ht="45" x14ac:dyDescent="0.25">
      <c r="A19" s="127" t="s">
        <v>15</v>
      </c>
      <c r="B19" s="130">
        <f t="shared" si="2"/>
        <v>2</v>
      </c>
      <c r="C19" s="126">
        <v>3</v>
      </c>
      <c r="D19" s="126">
        <v>4</v>
      </c>
      <c r="E19" s="127"/>
      <c r="F19" s="127"/>
      <c r="G19" s="127"/>
      <c r="H19" s="127"/>
      <c r="I19" s="127"/>
      <c r="J19" s="127"/>
      <c r="K19" s="127"/>
      <c r="L19" s="127"/>
      <c r="M19" s="127"/>
      <c r="N19" s="127"/>
      <c r="O19" s="127"/>
      <c r="P19" s="127"/>
      <c r="Q19" s="127"/>
      <c r="R19" s="127"/>
      <c r="S19" s="127"/>
      <c r="T19" s="127"/>
      <c r="U19" s="127"/>
      <c r="V19" s="127"/>
      <c r="W19" s="127"/>
      <c r="X19" s="127"/>
      <c r="Y19" s="127"/>
      <c r="Z19" s="127"/>
      <c r="AA19" s="127"/>
      <c r="AB19" s="127"/>
      <c r="AC19" s="127"/>
      <c r="AD19" s="127"/>
      <c r="AE19" s="127"/>
      <c r="AF19" s="127"/>
      <c r="AG19" s="127"/>
      <c r="AH19" s="127"/>
      <c r="AI19" s="127"/>
      <c r="AJ19" s="127"/>
      <c r="AK19" s="127"/>
      <c r="AL19" s="127"/>
      <c r="AM19" s="127"/>
      <c r="AN19" s="127"/>
      <c r="AO19" s="127"/>
      <c r="AP19" s="127"/>
      <c r="AQ19" s="127"/>
      <c r="AR19" s="127"/>
      <c r="AS19" s="127"/>
      <c r="AT19" s="127"/>
      <c r="AU19" s="127"/>
      <c r="AV19" s="127"/>
      <c r="AW19" s="127"/>
      <c r="AX19" s="127"/>
      <c r="AY19" s="127"/>
      <c r="AZ19" s="127"/>
      <c r="BA19" s="127"/>
      <c r="BB19" s="127"/>
      <c r="BC19" s="127"/>
      <c r="BD19" s="127"/>
      <c r="BE19" s="127"/>
      <c r="BF19" s="127"/>
      <c r="BG19" s="127"/>
      <c r="BH19" s="127"/>
      <c r="BI19" s="127"/>
      <c r="BJ19" s="127"/>
      <c r="BK19" s="127" t="s">
        <v>82</v>
      </c>
      <c r="BL19" s="127" t="s">
        <v>83</v>
      </c>
      <c r="BM19" s="127"/>
      <c r="BN19" s="127"/>
      <c r="BO19" s="126">
        <f t="shared" si="1"/>
        <v>0</v>
      </c>
      <c r="BP19" s="126">
        <f t="shared" si="1"/>
        <v>0</v>
      </c>
      <c r="BQ19" s="126">
        <f t="shared" si="1"/>
        <v>1</v>
      </c>
      <c r="BR19" s="126">
        <f t="shared" si="1"/>
        <v>1</v>
      </c>
      <c r="BS19" s="127" t="s">
        <v>119</v>
      </c>
      <c r="BT19" s="10" t="s">
        <v>122</v>
      </c>
      <c r="BU19" s="10" t="s">
        <v>123</v>
      </c>
      <c r="BV19" s="10" t="s">
        <v>125</v>
      </c>
      <c r="BW19" s="10" t="s">
        <v>120</v>
      </c>
      <c r="BX19" s="177" t="s">
        <v>223</v>
      </c>
      <c r="BY19" s="10">
        <v>2</v>
      </c>
    </row>
    <row r="20" spans="1:77" ht="45" x14ac:dyDescent="0.25">
      <c r="A20" s="127" t="s">
        <v>16</v>
      </c>
      <c r="B20" s="130">
        <f t="shared" si="2"/>
        <v>2</v>
      </c>
      <c r="C20" s="126">
        <v>4</v>
      </c>
      <c r="D20" s="126">
        <v>5</v>
      </c>
      <c r="E20" s="127"/>
      <c r="F20" s="127"/>
      <c r="G20" s="127"/>
      <c r="H20" s="127"/>
      <c r="I20" s="127"/>
      <c r="J20" s="127"/>
      <c r="K20" s="127"/>
      <c r="L20" s="127"/>
      <c r="M20" s="127"/>
      <c r="N20" s="127"/>
      <c r="O20" s="127"/>
      <c r="P20" s="127"/>
      <c r="Q20" s="127"/>
      <c r="R20" s="127"/>
      <c r="S20" s="127"/>
      <c r="T20" s="127"/>
      <c r="U20" s="127"/>
      <c r="V20" s="127"/>
      <c r="W20" s="127"/>
      <c r="X20" s="127"/>
      <c r="Y20" s="127"/>
      <c r="Z20" s="127"/>
      <c r="AA20" s="127"/>
      <c r="AB20" s="127"/>
      <c r="AC20" s="127"/>
      <c r="AD20" s="127"/>
      <c r="AE20" s="127"/>
      <c r="AF20" s="127"/>
      <c r="AG20" s="127"/>
      <c r="AH20" s="127"/>
      <c r="AI20" s="127"/>
      <c r="AJ20" s="127"/>
      <c r="AK20" s="127"/>
      <c r="AL20" s="127"/>
      <c r="AM20" s="127"/>
      <c r="AN20" s="127"/>
      <c r="AO20" s="127"/>
      <c r="AP20" s="127"/>
      <c r="AQ20" s="127"/>
      <c r="AR20" s="127"/>
      <c r="AS20" s="127"/>
      <c r="AT20" s="127"/>
      <c r="AU20" s="127"/>
      <c r="AV20" s="127"/>
      <c r="AW20" s="127"/>
      <c r="AX20" s="127"/>
      <c r="AY20" s="127"/>
      <c r="AZ20" s="127"/>
      <c r="BA20" s="127"/>
      <c r="BB20" s="127"/>
      <c r="BC20" s="127"/>
      <c r="BD20" s="127"/>
      <c r="BE20" s="127"/>
      <c r="BF20" s="127"/>
      <c r="BG20" s="127"/>
      <c r="BH20" s="127"/>
      <c r="BI20" s="127"/>
      <c r="BJ20" s="127"/>
      <c r="BK20" s="127" t="s">
        <v>82</v>
      </c>
      <c r="BL20" s="127" t="s">
        <v>83</v>
      </c>
      <c r="BM20" s="127"/>
      <c r="BN20" s="127"/>
      <c r="BO20" s="126">
        <f t="shared" si="1"/>
        <v>0</v>
      </c>
      <c r="BP20" s="126">
        <f t="shared" si="1"/>
        <v>0</v>
      </c>
      <c r="BQ20" s="126">
        <f t="shared" si="1"/>
        <v>1</v>
      </c>
      <c r="BR20" s="126">
        <f t="shared" si="1"/>
        <v>1</v>
      </c>
      <c r="BS20" s="127" t="s">
        <v>119</v>
      </c>
      <c r="BT20" s="10" t="s">
        <v>122</v>
      </c>
      <c r="BU20" s="10" t="s">
        <v>123</v>
      </c>
      <c r="BV20" s="10" t="s">
        <v>125</v>
      </c>
      <c r="BW20" s="10" t="s">
        <v>120</v>
      </c>
      <c r="BX20" s="177" t="s">
        <v>223</v>
      </c>
      <c r="BY20" s="10">
        <v>2</v>
      </c>
    </row>
    <row r="21" spans="1:77" ht="45" x14ac:dyDescent="0.25">
      <c r="A21" s="127" t="s">
        <v>17</v>
      </c>
      <c r="B21" s="130">
        <f t="shared" si="2"/>
        <v>2</v>
      </c>
      <c r="C21" s="126">
        <v>5</v>
      </c>
      <c r="D21" s="126">
        <v>6</v>
      </c>
      <c r="E21" s="127"/>
      <c r="F21" s="127"/>
      <c r="G21" s="127"/>
      <c r="H21" s="127"/>
      <c r="I21" s="127"/>
      <c r="J21" s="127"/>
      <c r="K21" s="127"/>
      <c r="L21" s="127"/>
      <c r="M21" s="127"/>
      <c r="N21" s="127"/>
      <c r="O21" s="127"/>
      <c r="P21" s="127"/>
      <c r="Q21" s="127"/>
      <c r="R21" s="127"/>
      <c r="S21" s="127"/>
      <c r="T21" s="127"/>
      <c r="U21" s="127"/>
      <c r="V21" s="127"/>
      <c r="W21" s="127"/>
      <c r="X21" s="127"/>
      <c r="Y21" s="127"/>
      <c r="Z21" s="127"/>
      <c r="AA21" s="127"/>
      <c r="AB21" s="127"/>
      <c r="AC21" s="127"/>
      <c r="AD21" s="127"/>
      <c r="AE21" s="127"/>
      <c r="AF21" s="127"/>
      <c r="AG21" s="127"/>
      <c r="AH21" s="127"/>
      <c r="AI21" s="127"/>
      <c r="AJ21" s="127"/>
      <c r="AK21" s="127"/>
      <c r="AL21" s="127"/>
      <c r="AM21" s="127"/>
      <c r="AN21" s="127"/>
      <c r="AO21" s="127"/>
      <c r="AP21" s="127"/>
      <c r="AQ21" s="127"/>
      <c r="AR21" s="127"/>
      <c r="AS21" s="127"/>
      <c r="AT21" s="127"/>
      <c r="AU21" s="127"/>
      <c r="AV21" s="127"/>
      <c r="AW21" s="127"/>
      <c r="AX21" s="127"/>
      <c r="AY21" s="127"/>
      <c r="AZ21" s="127"/>
      <c r="BA21" s="127"/>
      <c r="BB21" s="127"/>
      <c r="BC21" s="127"/>
      <c r="BD21" s="127"/>
      <c r="BE21" s="127"/>
      <c r="BF21" s="127"/>
      <c r="BG21" s="127"/>
      <c r="BH21" s="127"/>
      <c r="BI21" s="127"/>
      <c r="BJ21" s="127"/>
      <c r="BK21" s="127" t="s">
        <v>82</v>
      </c>
      <c r="BL21" s="127" t="s">
        <v>83</v>
      </c>
      <c r="BM21" s="127"/>
      <c r="BN21" s="127"/>
      <c r="BO21" s="126">
        <f t="shared" si="1"/>
        <v>0</v>
      </c>
      <c r="BP21" s="126">
        <f t="shared" si="1"/>
        <v>0</v>
      </c>
      <c r="BQ21" s="126">
        <f t="shared" si="1"/>
        <v>1</v>
      </c>
      <c r="BR21" s="126">
        <f t="shared" si="1"/>
        <v>1</v>
      </c>
      <c r="BS21" s="127" t="s">
        <v>119</v>
      </c>
      <c r="BT21" s="10" t="s">
        <v>122</v>
      </c>
      <c r="BU21" s="10" t="s">
        <v>123</v>
      </c>
      <c r="BV21" s="10" t="s">
        <v>125</v>
      </c>
      <c r="BW21" s="10" t="s">
        <v>120</v>
      </c>
      <c r="BX21" s="177" t="s">
        <v>223</v>
      </c>
      <c r="BY21" s="10">
        <v>2</v>
      </c>
    </row>
    <row r="22" spans="1:77" ht="45" x14ac:dyDescent="0.25">
      <c r="A22" s="127" t="s">
        <v>19</v>
      </c>
      <c r="B22" s="130">
        <f t="shared" si="2"/>
        <v>2</v>
      </c>
      <c r="C22" s="126">
        <v>6</v>
      </c>
      <c r="D22" s="126">
        <v>7</v>
      </c>
      <c r="E22" s="127"/>
      <c r="F22" s="127"/>
      <c r="G22" s="127"/>
      <c r="H22" s="127"/>
      <c r="I22" s="127"/>
      <c r="J22" s="127"/>
      <c r="K22" s="127"/>
      <c r="L22" s="127"/>
      <c r="M22" s="127"/>
      <c r="N22" s="127"/>
      <c r="O22" s="127"/>
      <c r="P22" s="127"/>
      <c r="Q22" s="127"/>
      <c r="R22" s="127"/>
      <c r="S22" s="127"/>
      <c r="T22" s="127"/>
      <c r="U22" s="127"/>
      <c r="V22" s="127"/>
      <c r="W22" s="127"/>
      <c r="X22" s="127"/>
      <c r="Y22" s="127"/>
      <c r="Z22" s="127"/>
      <c r="AA22" s="127"/>
      <c r="AB22" s="127"/>
      <c r="AC22" s="127"/>
      <c r="AD22" s="127"/>
      <c r="AE22" s="127"/>
      <c r="AF22" s="127"/>
      <c r="AG22" s="127"/>
      <c r="AH22" s="127"/>
      <c r="AI22" s="127"/>
      <c r="AJ22" s="127"/>
      <c r="AK22" s="127"/>
      <c r="AL22" s="127"/>
      <c r="AM22" s="127"/>
      <c r="AN22" s="127"/>
      <c r="AO22" s="127"/>
      <c r="AP22" s="127"/>
      <c r="AQ22" s="127"/>
      <c r="AR22" s="127"/>
      <c r="AS22" s="127"/>
      <c r="AT22" s="127"/>
      <c r="AU22" s="127"/>
      <c r="AV22" s="127"/>
      <c r="AW22" s="127"/>
      <c r="AX22" s="127"/>
      <c r="AY22" s="127"/>
      <c r="AZ22" s="127"/>
      <c r="BA22" s="127"/>
      <c r="BB22" s="127"/>
      <c r="BC22" s="127"/>
      <c r="BD22" s="127"/>
      <c r="BE22" s="127"/>
      <c r="BF22" s="127"/>
      <c r="BG22" s="127"/>
      <c r="BH22" s="127"/>
      <c r="BI22" s="127"/>
      <c r="BJ22" s="127"/>
      <c r="BK22" s="127" t="s">
        <v>82</v>
      </c>
      <c r="BL22" s="127" t="s">
        <v>83</v>
      </c>
      <c r="BM22" s="127"/>
      <c r="BN22" s="127"/>
      <c r="BO22" s="126">
        <f t="shared" ref="BO22:BR36" si="3">COUNTIF($BK22:$BN22,BO$1)</f>
        <v>0</v>
      </c>
      <c r="BP22" s="126">
        <f t="shared" si="3"/>
        <v>0</v>
      </c>
      <c r="BQ22" s="126">
        <f t="shared" si="3"/>
        <v>1</v>
      </c>
      <c r="BR22" s="126">
        <f t="shared" si="3"/>
        <v>1</v>
      </c>
      <c r="BS22" s="127" t="s">
        <v>119</v>
      </c>
      <c r="BT22" s="10" t="s">
        <v>122</v>
      </c>
      <c r="BU22" s="10" t="s">
        <v>123</v>
      </c>
      <c r="BV22" s="10" t="s">
        <v>125</v>
      </c>
      <c r="BW22" s="10" t="s">
        <v>120</v>
      </c>
      <c r="BX22" s="177" t="s">
        <v>223</v>
      </c>
      <c r="BY22" s="10">
        <v>2</v>
      </c>
    </row>
    <row r="23" spans="1:77" ht="45" x14ac:dyDescent="0.25">
      <c r="A23" s="127" t="s">
        <v>20</v>
      </c>
      <c r="B23" s="130">
        <f t="shared" si="2"/>
        <v>2</v>
      </c>
      <c r="C23" s="126">
        <v>7</v>
      </c>
      <c r="D23" s="126">
        <v>8</v>
      </c>
      <c r="E23" s="127"/>
      <c r="F23" s="127"/>
      <c r="G23" s="127"/>
      <c r="H23" s="127"/>
      <c r="I23" s="127"/>
      <c r="J23" s="127"/>
      <c r="K23" s="127"/>
      <c r="L23" s="127"/>
      <c r="M23" s="127"/>
      <c r="N23" s="127"/>
      <c r="O23" s="127"/>
      <c r="P23" s="127"/>
      <c r="Q23" s="127"/>
      <c r="R23" s="127"/>
      <c r="S23" s="127"/>
      <c r="T23" s="127"/>
      <c r="U23" s="127"/>
      <c r="V23" s="127"/>
      <c r="W23" s="127"/>
      <c r="X23" s="127"/>
      <c r="Y23" s="127"/>
      <c r="Z23" s="127"/>
      <c r="AA23" s="127"/>
      <c r="AB23" s="127"/>
      <c r="AC23" s="127"/>
      <c r="AD23" s="127"/>
      <c r="AE23" s="127"/>
      <c r="AF23" s="127"/>
      <c r="AG23" s="127"/>
      <c r="AH23" s="127"/>
      <c r="AI23" s="127"/>
      <c r="AJ23" s="127"/>
      <c r="AK23" s="127"/>
      <c r="AL23" s="127"/>
      <c r="AM23" s="127"/>
      <c r="AN23" s="127"/>
      <c r="AO23" s="127"/>
      <c r="AP23" s="127"/>
      <c r="AQ23" s="127"/>
      <c r="AR23" s="127"/>
      <c r="AS23" s="127"/>
      <c r="AT23" s="127"/>
      <c r="AU23" s="127"/>
      <c r="AV23" s="127"/>
      <c r="AW23" s="127"/>
      <c r="AX23" s="127"/>
      <c r="AY23" s="127"/>
      <c r="AZ23" s="127"/>
      <c r="BA23" s="127"/>
      <c r="BB23" s="127"/>
      <c r="BC23" s="127"/>
      <c r="BD23" s="127"/>
      <c r="BE23" s="127"/>
      <c r="BF23" s="127"/>
      <c r="BG23" s="127"/>
      <c r="BH23" s="127"/>
      <c r="BI23" s="127"/>
      <c r="BJ23" s="127"/>
      <c r="BK23" s="127" t="s">
        <v>82</v>
      </c>
      <c r="BL23" s="127" t="s">
        <v>83</v>
      </c>
      <c r="BM23" s="127"/>
      <c r="BN23" s="127"/>
      <c r="BO23" s="126">
        <f t="shared" si="3"/>
        <v>0</v>
      </c>
      <c r="BP23" s="126">
        <f t="shared" si="3"/>
        <v>0</v>
      </c>
      <c r="BQ23" s="126">
        <f t="shared" si="3"/>
        <v>1</v>
      </c>
      <c r="BR23" s="126">
        <f t="shared" si="3"/>
        <v>1</v>
      </c>
      <c r="BS23" s="127"/>
      <c r="BT23" s="10" t="s">
        <v>122</v>
      </c>
      <c r="BU23" s="10" t="s">
        <v>123</v>
      </c>
      <c r="BV23" s="10" t="s">
        <v>125</v>
      </c>
      <c r="BW23" s="10" t="s">
        <v>120</v>
      </c>
      <c r="BX23" s="177" t="s">
        <v>223</v>
      </c>
      <c r="BY23" s="10">
        <v>2</v>
      </c>
    </row>
    <row r="24" spans="1:77" ht="45" x14ac:dyDescent="0.25">
      <c r="A24" s="127" t="s">
        <v>24</v>
      </c>
      <c r="B24" s="130">
        <f t="shared" si="2"/>
        <v>2</v>
      </c>
      <c r="C24" s="126">
        <v>10</v>
      </c>
      <c r="D24" s="126">
        <v>11</v>
      </c>
      <c r="E24" s="127"/>
      <c r="F24" s="127"/>
      <c r="G24" s="127"/>
      <c r="H24" s="127"/>
      <c r="I24" s="127"/>
      <c r="J24" s="127"/>
      <c r="K24" s="127"/>
      <c r="L24" s="127"/>
      <c r="M24" s="127"/>
      <c r="N24" s="127"/>
      <c r="O24" s="127"/>
      <c r="P24" s="127"/>
      <c r="Q24" s="127"/>
      <c r="R24" s="127"/>
      <c r="S24" s="127"/>
      <c r="T24" s="127"/>
      <c r="U24" s="127"/>
      <c r="V24" s="127"/>
      <c r="W24" s="127"/>
      <c r="X24" s="127"/>
      <c r="Y24" s="127"/>
      <c r="Z24" s="127"/>
      <c r="AA24" s="127"/>
      <c r="AB24" s="127"/>
      <c r="AC24" s="127"/>
      <c r="AD24" s="127"/>
      <c r="AE24" s="127"/>
      <c r="AF24" s="127"/>
      <c r="AG24" s="127"/>
      <c r="AH24" s="127"/>
      <c r="AI24" s="127"/>
      <c r="AJ24" s="127"/>
      <c r="AK24" s="127"/>
      <c r="AL24" s="127"/>
      <c r="AM24" s="127"/>
      <c r="AN24" s="127"/>
      <c r="AO24" s="127"/>
      <c r="AP24" s="127"/>
      <c r="AQ24" s="127"/>
      <c r="AR24" s="127"/>
      <c r="AS24" s="127"/>
      <c r="AT24" s="127"/>
      <c r="AU24" s="127"/>
      <c r="AV24" s="127"/>
      <c r="AW24" s="127"/>
      <c r="AX24" s="127"/>
      <c r="AY24" s="127"/>
      <c r="AZ24" s="127"/>
      <c r="BA24" s="127"/>
      <c r="BB24" s="127"/>
      <c r="BC24" s="127"/>
      <c r="BD24" s="127"/>
      <c r="BE24" s="127"/>
      <c r="BF24" s="127"/>
      <c r="BG24" s="127"/>
      <c r="BH24" s="127"/>
      <c r="BI24" s="127"/>
      <c r="BJ24" s="127"/>
      <c r="BK24" s="127" t="s">
        <v>82</v>
      </c>
      <c r="BL24" s="127" t="s">
        <v>83</v>
      </c>
      <c r="BM24" s="127"/>
      <c r="BN24" s="127"/>
      <c r="BO24" s="126">
        <f t="shared" si="3"/>
        <v>0</v>
      </c>
      <c r="BP24" s="126">
        <f t="shared" si="3"/>
        <v>0</v>
      </c>
      <c r="BQ24" s="126">
        <f t="shared" si="3"/>
        <v>1</v>
      </c>
      <c r="BR24" s="126">
        <f t="shared" si="3"/>
        <v>1</v>
      </c>
      <c r="BS24" s="127"/>
      <c r="BT24" s="10" t="s">
        <v>122</v>
      </c>
      <c r="BU24" s="10" t="s">
        <v>123</v>
      </c>
      <c r="BV24" s="10" t="s">
        <v>125</v>
      </c>
      <c r="BW24" s="10" t="s">
        <v>120</v>
      </c>
      <c r="BX24" s="177" t="s">
        <v>223</v>
      </c>
      <c r="BY24" s="10">
        <v>2</v>
      </c>
    </row>
    <row r="25" spans="1:77" ht="45" x14ac:dyDescent="0.25">
      <c r="A25" s="127" t="s">
        <v>27</v>
      </c>
      <c r="B25" s="130">
        <f t="shared" si="2"/>
        <v>2</v>
      </c>
      <c r="C25" s="126">
        <v>15</v>
      </c>
      <c r="D25" s="126">
        <v>16</v>
      </c>
      <c r="E25" s="127"/>
      <c r="F25" s="127"/>
      <c r="G25" s="127"/>
      <c r="H25" s="127"/>
      <c r="I25" s="127"/>
      <c r="J25" s="127"/>
      <c r="K25" s="127"/>
      <c r="L25" s="127"/>
      <c r="M25" s="127"/>
      <c r="N25" s="127"/>
      <c r="O25" s="127"/>
      <c r="P25" s="127"/>
      <c r="Q25" s="127"/>
      <c r="R25" s="127"/>
      <c r="S25" s="127"/>
      <c r="T25" s="127"/>
      <c r="U25" s="127"/>
      <c r="V25" s="127"/>
      <c r="W25" s="127"/>
      <c r="X25" s="127"/>
      <c r="Y25" s="127"/>
      <c r="Z25" s="127"/>
      <c r="AA25" s="127"/>
      <c r="AB25" s="127"/>
      <c r="AC25" s="127"/>
      <c r="AD25" s="127"/>
      <c r="AE25" s="127"/>
      <c r="AF25" s="127"/>
      <c r="AG25" s="127"/>
      <c r="AH25" s="127"/>
      <c r="AI25" s="127"/>
      <c r="AJ25" s="127"/>
      <c r="AK25" s="127"/>
      <c r="AL25" s="127"/>
      <c r="AM25" s="127"/>
      <c r="AN25" s="127"/>
      <c r="AO25" s="127"/>
      <c r="AP25" s="127"/>
      <c r="AQ25" s="127"/>
      <c r="AR25" s="127"/>
      <c r="AS25" s="127"/>
      <c r="AT25" s="127"/>
      <c r="AU25" s="127"/>
      <c r="AV25" s="127"/>
      <c r="AW25" s="127"/>
      <c r="AX25" s="127"/>
      <c r="AY25" s="127"/>
      <c r="AZ25" s="127"/>
      <c r="BA25" s="127"/>
      <c r="BB25" s="127"/>
      <c r="BC25" s="127"/>
      <c r="BD25" s="127"/>
      <c r="BE25" s="127"/>
      <c r="BF25" s="127"/>
      <c r="BG25" s="127"/>
      <c r="BH25" s="127"/>
      <c r="BI25" s="127"/>
      <c r="BJ25" s="127"/>
      <c r="BK25" s="127" t="s">
        <v>82</v>
      </c>
      <c r="BL25" s="127" t="s">
        <v>83</v>
      </c>
      <c r="BM25" s="127"/>
      <c r="BN25" s="127"/>
      <c r="BO25" s="126">
        <f t="shared" si="3"/>
        <v>0</v>
      </c>
      <c r="BP25" s="126">
        <f t="shared" si="3"/>
        <v>0</v>
      </c>
      <c r="BQ25" s="126">
        <f t="shared" si="3"/>
        <v>1</v>
      </c>
      <c r="BR25" s="126">
        <f t="shared" si="3"/>
        <v>1</v>
      </c>
      <c r="BS25" s="127"/>
      <c r="BT25" s="10" t="s">
        <v>122</v>
      </c>
      <c r="BU25" s="10" t="s">
        <v>123</v>
      </c>
      <c r="BV25" s="10" t="s">
        <v>125</v>
      </c>
      <c r="BW25" s="10" t="s">
        <v>120</v>
      </c>
      <c r="BX25" s="177" t="s">
        <v>223</v>
      </c>
      <c r="BY25" s="10">
        <v>2</v>
      </c>
    </row>
    <row r="26" spans="1:77" ht="45" x14ac:dyDescent="0.25">
      <c r="A26" s="127" t="s">
        <v>31</v>
      </c>
      <c r="B26" s="130">
        <f t="shared" si="2"/>
        <v>2</v>
      </c>
      <c r="C26" s="126">
        <v>21</v>
      </c>
      <c r="D26" s="126">
        <v>22</v>
      </c>
      <c r="E26" s="127"/>
      <c r="F26" s="127"/>
      <c r="G26" s="127"/>
      <c r="H26" s="127"/>
      <c r="I26" s="127"/>
      <c r="J26" s="127"/>
      <c r="K26" s="127"/>
      <c r="L26" s="127"/>
      <c r="M26" s="127"/>
      <c r="N26" s="127"/>
      <c r="O26" s="127"/>
      <c r="P26" s="127"/>
      <c r="Q26" s="127"/>
      <c r="R26" s="127"/>
      <c r="S26" s="127"/>
      <c r="T26" s="127"/>
      <c r="U26" s="127"/>
      <c r="V26" s="127"/>
      <c r="W26" s="127"/>
      <c r="X26" s="127"/>
      <c r="Y26" s="127"/>
      <c r="Z26" s="127"/>
      <c r="AA26" s="127"/>
      <c r="AB26" s="127"/>
      <c r="AC26" s="127"/>
      <c r="AD26" s="127"/>
      <c r="AE26" s="127"/>
      <c r="AF26" s="127"/>
      <c r="AG26" s="127"/>
      <c r="AH26" s="127"/>
      <c r="AI26" s="127"/>
      <c r="AJ26" s="127"/>
      <c r="AK26" s="127"/>
      <c r="AL26" s="127"/>
      <c r="AM26" s="127"/>
      <c r="AN26" s="127"/>
      <c r="AO26" s="127"/>
      <c r="AP26" s="127"/>
      <c r="AQ26" s="127"/>
      <c r="AR26" s="127"/>
      <c r="AS26" s="127"/>
      <c r="AT26" s="127"/>
      <c r="AU26" s="127"/>
      <c r="AV26" s="127"/>
      <c r="AW26" s="127"/>
      <c r="AX26" s="127"/>
      <c r="AY26" s="127"/>
      <c r="AZ26" s="127"/>
      <c r="BA26" s="127"/>
      <c r="BB26" s="127"/>
      <c r="BC26" s="127"/>
      <c r="BD26" s="127"/>
      <c r="BE26" s="127"/>
      <c r="BF26" s="127"/>
      <c r="BG26" s="127"/>
      <c r="BH26" s="127"/>
      <c r="BI26" s="127"/>
      <c r="BJ26" s="127"/>
      <c r="BK26" s="127" t="s">
        <v>82</v>
      </c>
      <c r="BL26" s="127" t="s">
        <v>83</v>
      </c>
      <c r="BM26" s="127"/>
      <c r="BN26" s="127"/>
      <c r="BO26" s="126">
        <f t="shared" si="3"/>
        <v>0</v>
      </c>
      <c r="BP26" s="126">
        <f t="shared" si="3"/>
        <v>0</v>
      </c>
      <c r="BQ26" s="126">
        <f t="shared" si="3"/>
        <v>1</v>
      </c>
      <c r="BR26" s="126">
        <f t="shared" si="3"/>
        <v>1</v>
      </c>
      <c r="BS26" s="127"/>
      <c r="BT26" s="10" t="s">
        <v>122</v>
      </c>
      <c r="BU26" s="10" t="s">
        <v>123</v>
      </c>
      <c r="BV26" s="10" t="s">
        <v>125</v>
      </c>
      <c r="BW26" s="10" t="s">
        <v>120</v>
      </c>
      <c r="BX26" s="177" t="s">
        <v>223</v>
      </c>
      <c r="BY26" s="10">
        <v>2</v>
      </c>
    </row>
    <row r="27" spans="1:77" ht="45" x14ac:dyDescent="0.25">
      <c r="A27" s="127" t="s">
        <v>36</v>
      </c>
      <c r="B27" s="130">
        <f t="shared" si="2"/>
        <v>2</v>
      </c>
      <c r="C27" s="126">
        <v>24</v>
      </c>
      <c r="D27" s="126">
        <v>25</v>
      </c>
      <c r="E27" s="127"/>
      <c r="F27" s="127"/>
      <c r="G27" s="127"/>
      <c r="H27" s="127"/>
      <c r="I27" s="127"/>
      <c r="J27" s="127"/>
      <c r="K27" s="127"/>
      <c r="L27" s="127"/>
      <c r="M27" s="127"/>
      <c r="N27" s="127"/>
      <c r="O27" s="127"/>
      <c r="P27" s="127"/>
      <c r="Q27" s="127"/>
      <c r="R27" s="127"/>
      <c r="S27" s="127"/>
      <c r="T27" s="127"/>
      <c r="U27" s="127"/>
      <c r="V27" s="127"/>
      <c r="W27" s="127"/>
      <c r="X27" s="127"/>
      <c r="Y27" s="127"/>
      <c r="Z27" s="127"/>
      <c r="AA27" s="127"/>
      <c r="AB27" s="127"/>
      <c r="AC27" s="127"/>
      <c r="AD27" s="127"/>
      <c r="AE27" s="127"/>
      <c r="AF27" s="127"/>
      <c r="AG27" s="127"/>
      <c r="AH27" s="127"/>
      <c r="AI27" s="127"/>
      <c r="AJ27" s="127"/>
      <c r="AK27" s="127"/>
      <c r="AL27" s="127"/>
      <c r="AM27" s="127"/>
      <c r="AN27" s="127"/>
      <c r="AO27" s="127"/>
      <c r="AP27" s="127"/>
      <c r="AQ27" s="127"/>
      <c r="AR27" s="127"/>
      <c r="AS27" s="127"/>
      <c r="AT27" s="127"/>
      <c r="AU27" s="127"/>
      <c r="AV27" s="127"/>
      <c r="AW27" s="127"/>
      <c r="AX27" s="127"/>
      <c r="AY27" s="127"/>
      <c r="AZ27" s="127"/>
      <c r="BA27" s="127"/>
      <c r="BB27" s="127"/>
      <c r="BC27" s="127"/>
      <c r="BD27" s="127"/>
      <c r="BE27" s="127"/>
      <c r="BF27" s="127"/>
      <c r="BG27" s="127"/>
      <c r="BH27" s="127"/>
      <c r="BI27" s="127"/>
      <c r="BJ27" s="127"/>
      <c r="BK27" s="127" t="s">
        <v>82</v>
      </c>
      <c r="BL27" s="127" t="s">
        <v>83</v>
      </c>
      <c r="BM27" s="127"/>
      <c r="BN27" s="127"/>
      <c r="BO27" s="126">
        <f t="shared" si="3"/>
        <v>0</v>
      </c>
      <c r="BP27" s="126">
        <f t="shared" si="3"/>
        <v>0</v>
      </c>
      <c r="BQ27" s="126">
        <f t="shared" si="3"/>
        <v>1</v>
      </c>
      <c r="BR27" s="126">
        <f t="shared" si="3"/>
        <v>1</v>
      </c>
      <c r="BS27" s="127"/>
      <c r="BT27" s="10" t="s">
        <v>122</v>
      </c>
      <c r="BU27" s="10" t="s">
        <v>123</v>
      </c>
      <c r="BV27" s="10" t="s">
        <v>125</v>
      </c>
      <c r="BW27" s="10" t="s">
        <v>120</v>
      </c>
      <c r="BX27" s="177" t="s">
        <v>223</v>
      </c>
      <c r="BY27" s="10">
        <v>2</v>
      </c>
    </row>
    <row r="28" spans="1:77" x14ac:dyDescent="0.25">
      <c r="A28" s="129" t="s">
        <v>151</v>
      </c>
      <c r="B28" s="130">
        <f t="shared" si="2"/>
        <v>16</v>
      </c>
      <c r="C28" s="126">
        <v>33</v>
      </c>
      <c r="D28" s="126">
        <v>34</v>
      </c>
      <c r="E28" s="126">
        <v>35</v>
      </c>
      <c r="F28" s="126">
        <v>36</v>
      </c>
      <c r="G28" s="126">
        <v>37</v>
      </c>
      <c r="H28" s="126">
        <v>38</v>
      </c>
      <c r="I28" s="126">
        <v>39</v>
      </c>
      <c r="J28" s="126">
        <v>40</v>
      </c>
      <c r="K28" s="126">
        <v>41</v>
      </c>
      <c r="L28" s="126">
        <v>42</v>
      </c>
      <c r="M28" s="126">
        <v>43</v>
      </c>
      <c r="N28" s="126">
        <v>44</v>
      </c>
      <c r="O28" s="126">
        <v>45</v>
      </c>
      <c r="P28" s="126">
        <v>46</v>
      </c>
      <c r="Q28" s="126">
        <v>47</v>
      </c>
      <c r="R28" s="126">
        <v>48</v>
      </c>
      <c r="S28" s="127"/>
      <c r="T28" s="127"/>
      <c r="U28" s="127"/>
      <c r="V28" s="127"/>
      <c r="W28" s="127"/>
      <c r="X28" s="127"/>
      <c r="Y28" s="127"/>
      <c r="Z28" s="127"/>
      <c r="AA28" s="127"/>
      <c r="AB28" s="127"/>
      <c r="AC28" s="127"/>
      <c r="AD28" s="127"/>
      <c r="AE28" s="127"/>
      <c r="AF28" s="127"/>
      <c r="AG28" s="127"/>
      <c r="AH28" s="127"/>
      <c r="AI28" s="127"/>
      <c r="AJ28" s="127"/>
      <c r="AK28" s="127"/>
      <c r="AL28" s="127"/>
      <c r="AM28" s="127"/>
      <c r="AN28" s="127"/>
      <c r="AO28" s="127"/>
      <c r="AP28" s="127"/>
      <c r="AQ28" s="127"/>
      <c r="AR28" s="127"/>
      <c r="AS28" s="127"/>
      <c r="AT28" s="127"/>
      <c r="AU28" s="127"/>
      <c r="AV28" s="127"/>
      <c r="AW28" s="127"/>
      <c r="AX28" s="127"/>
      <c r="AY28" s="127"/>
      <c r="AZ28" s="127"/>
      <c r="BA28" s="127"/>
      <c r="BB28" s="127"/>
      <c r="BC28" s="127"/>
      <c r="BD28" s="127"/>
      <c r="BE28" s="127"/>
      <c r="BF28" s="127"/>
      <c r="BG28" s="127"/>
      <c r="BH28" s="126">
        <v>33</v>
      </c>
      <c r="BI28" s="126">
        <v>43</v>
      </c>
      <c r="BJ28" s="126">
        <v>48</v>
      </c>
      <c r="BK28" s="126" t="s">
        <v>80</v>
      </c>
      <c r="BL28" s="127"/>
      <c r="BM28" s="127"/>
      <c r="BN28" s="127"/>
      <c r="BO28" s="126">
        <f t="shared" si="3"/>
        <v>1</v>
      </c>
      <c r="BP28" s="126">
        <f t="shared" si="3"/>
        <v>0</v>
      </c>
      <c r="BQ28" s="126">
        <f t="shared" si="3"/>
        <v>0</v>
      </c>
      <c r="BR28" s="126">
        <f t="shared" si="3"/>
        <v>0</v>
      </c>
      <c r="BS28" s="127"/>
      <c r="BT28" s="10" t="s">
        <v>122</v>
      </c>
      <c r="BU28" s="10" t="s">
        <v>123</v>
      </c>
      <c r="BV28" s="10" t="s">
        <v>121</v>
      </c>
      <c r="BW28" s="10" t="s">
        <v>125</v>
      </c>
      <c r="BY28" s="10">
        <v>2</v>
      </c>
    </row>
    <row r="29" spans="1:77" x14ac:dyDescent="0.25">
      <c r="A29" s="129" t="s">
        <v>152</v>
      </c>
      <c r="B29" s="130">
        <f t="shared" si="2"/>
        <v>13</v>
      </c>
      <c r="C29" s="126">
        <v>27</v>
      </c>
      <c r="D29" s="126">
        <v>28</v>
      </c>
      <c r="E29" s="126">
        <v>29</v>
      </c>
      <c r="F29" s="126">
        <v>30</v>
      </c>
      <c r="G29" s="126">
        <v>31</v>
      </c>
      <c r="H29" s="126">
        <v>32</v>
      </c>
      <c r="I29" s="126">
        <v>33</v>
      </c>
      <c r="J29" s="126">
        <v>34</v>
      </c>
      <c r="K29" s="126">
        <v>35</v>
      </c>
      <c r="L29" s="126">
        <v>36</v>
      </c>
      <c r="M29" s="126">
        <v>37</v>
      </c>
      <c r="N29" s="126">
        <v>38</v>
      </c>
      <c r="O29" s="126">
        <v>39</v>
      </c>
      <c r="P29" s="127"/>
      <c r="Q29" s="127"/>
      <c r="R29" s="127"/>
      <c r="S29" s="127"/>
      <c r="T29" s="127"/>
      <c r="U29" s="127"/>
      <c r="V29" s="127"/>
      <c r="W29" s="127"/>
      <c r="X29" s="127"/>
      <c r="Y29" s="127"/>
      <c r="Z29" s="127"/>
      <c r="AA29" s="127"/>
      <c r="AB29" s="127"/>
      <c r="AC29" s="127"/>
      <c r="AD29" s="127"/>
      <c r="AE29" s="127"/>
      <c r="AF29" s="127"/>
      <c r="AG29" s="127"/>
      <c r="AH29" s="127"/>
      <c r="AI29" s="127"/>
      <c r="AJ29" s="127"/>
      <c r="AK29" s="127"/>
      <c r="AL29" s="127"/>
      <c r="AM29" s="127"/>
      <c r="AN29" s="127"/>
      <c r="AO29" s="127"/>
      <c r="AP29" s="127"/>
      <c r="AQ29" s="127"/>
      <c r="AR29" s="127"/>
      <c r="AS29" s="127"/>
      <c r="AT29" s="127"/>
      <c r="AU29" s="127"/>
      <c r="AV29" s="127"/>
      <c r="AW29" s="127"/>
      <c r="AX29" s="127"/>
      <c r="AY29" s="127"/>
      <c r="AZ29" s="127"/>
      <c r="BA29" s="127"/>
      <c r="BB29" s="127"/>
      <c r="BC29" s="127"/>
      <c r="BD29" s="127"/>
      <c r="BE29" s="127"/>
      <c r="BF29" s="127"/>
      <c r="BG29" s="127"/>
      <c r="BH29" s="126">
        <v>27</v>
      </c>
      <c r="BI29" s="126">
        <v>36</v>
      </c>
      <c r="BJ29" s="126">
        <v>39</v>
      </c>
      <c r="BK29" s="126" t="s">
        <v>80</v>
      </c>
      <c r="BL29" s="127"/>
      <c r="BM29" s="127"/>
      <c r="BN29" s="127"/>
      <c r="BO29" s="126">
        <f t="shared" si="3"/>
        <v>1</v>
      </c>
      <c r="BP29" s="126">
        <f t="shared" si="3"/>
        <v>0</v>
      </c>
      <c r="BQ29" s="126">
        <f t="shared" si="3"/>
        <v>0</v>
      </c>
      <c r="BR29" s="126">
        <f t="shared" si="3"/>
        <v>0</v>
      </c>
      <c r="BS29" s="127"/>
      <c r="BT29" s="10" t="s">
        <v>122</v>
      </c>
      <c r="BU29" s="10" t="s">
        <v>123</v>
      </c>
      <c r="BV29" s="10" t="s">
        <v>121</v>
      </c>
      <c r="BW29" s="10" t="s">
        <v>125</v>
      </c>
      <c r="BY29" s="10">
        <v>2</v>
      </c>
    </row>
    <row r="30" spans="1:77" x14ac:dyDescent="0.25">
      <c r="A30" s="129" t="s">
        <v>153</v>
      </c>
      <c r="B30" s="130">
        <f t="shared" si="2"/>
        <v>3</v>
      </c>
      <c r="C30" s="126">
        <v>23</v>
      </c>
      <c r="D30" s="126">
        <v>24</v>
      </c>
      <c r="E30" s="126">
        <v>26</v>
      </c>
      <c r="F30" s="127"/>
      <c r="G30" s="127"/>
      <c r="H30" s="127"/>
      <c r="I30" s="127"/>
      <c r="J30" s="127"/>
      <c r="K30" s="127"/>
      <c r="L30" s="127"/>
      <c r="M30" s="127"/>
      <c r="N30" s="127"/>
      <c r="O30" s="127"/>
      <c r="P30" s="127"/>
      <c r="Q30" s="127"/>
      <c r="R30" s="127"/>
      <c r="S30" s="127"/>
      <c r="T30" s="127"/>
      <c r="U30" s="127"/>
      <c r="V30" s="127"/>
      <c r="W30" s="127"/>
      <c r="X30" s="127"/>
      <c r="Y30" s="127"/>
      <c r="Z30" s="127"/>
      <c r="AA30" s="127"/>
      <c r="AB30" s="127"/>
      <c r="AC30" s="127"/>
      <c r="AD30" s="127"/>
      <c r="AE30" s="127"/>
      <c r="AF30" s="127"/>
      <c r="AG30" s="127"/>
      <c r="AH30" s="127"/>
      <c r="AI30" s="127"/>
      <c r="AJ30" s="127"/>
      <c r="AK30" s="127"/>
      <c r="AL30" s="127"/>
      <c r="AM30" s="127"/>
      <c r="AN30" s="127"/>
      <c r="AO30" s="127"/>
      <c r="AP30" s="127"/>
      <c r="AQ30" s="127"/>
      <c r="AR30" s="127"/>
      <c r="AS30" s="127"/>
      <c r="AT30" s="127"/>
      <c r="AU30" s="127"/>
      <c r="AV30" s="127"/>
      <c r="AW30" s="127"/>
      <c r="AX30" s="127"/>
      <c r="AY30" s="127"/>
      <c r="AZ30" s="127"/>
      <c r="BA30" s="127"/>
      <c r="BB30" s="127"/>
      <c r="BC30" s="127"/>
      <c r="BD30" s="127"/>
      <c r="BE30" s="127"/>
      <c r="BF30" s="127"/>
      <c r="BG30" s="127"/>
      <c r="BH30" s="126"/>
      <c r="BI30" s="126"/>
      <c r="BJ30" s="126"/>
      <c r="BK30" s="126" t="s">
        <v>80</v>
      </c>
      <c r="BL30" s="127"/>
      <c r="BM30" s="127"/>
      <c r="BN30" s="127"/>
      <c r="BO30" s="126">
        <f t="shared" si="3"/>
        <v>1</v>
      </c>
      <c r="BP30" s="126">
        <f t="shared" si="3"/>
        <v>0</v>
      </c>
      <c r="BQ30" s="126">
        <f t="shared" si="3"/>
        <v>0</v>
      </c>
      <c r="BR30" s="126">
        <f t="shared" si="3"/>
        <v>0</v>
      </c>
      <c r="BS30" s="127"/>
      <c r="BT30" s="10" t="s">
        <v>122</v>
      </c>
      <c r="BU30" s="10" t="s">
        <v>123</v>
      </c>
      <c r="BV30" s="10" t="s">
        <v>121</v>
      </c>
      <c r="BW30" s="10" t="s">
        <v>125</v>
      </c>
      <c r="BY30" s="10">
        <v>2</v>
      </c>
    </row>
    <row r="31" spans="1:77" x14ac:dyDescent="0.25">
      <c r="A31" s="129" t="s">
        <v>154</v>
      </c>
      <c r="B31" s="130">
        <f t="shared" si="2"/>
        <v>7</v>
      </c>
      <c r="C31" s="126">
        <v>23</v>
      </c>
      <c r="D31" s="126">
        <v>24</v>
      </c>
      <c r="E31" s="126">
        <v>26</v>
      </c>
      <c r="F31" s="126">
        <v>27</v>
      </c>
      <c r="G31" s="126">
        <v>28</v>
      </c>
      <c r="H31" s="126">
        <v>29</v>
      </c>
      <c r="I31" s="126">
        <v>30</v>
      </c>
      <c r="J31" s="127"/>
      <c r="K31" s="127"/>
      <c r="L31" s="127"/>
      <c r="M31" s="127"/>
      <c r="N31" s="127"/>
      <c r="O31" s="127"/>
      <c r="P31" s="127"/>
      <c r="Q31" s="127"/>
      <c r="R31" s="127"/>
      <c r="S31" s="127"/>
      <c r="T31" s="127"/>
      <c r="U31" s="127"/>
      <c r="V31" s="127"/>
      <c r="W31" s="127"/>
      <c r="X31" s="127"/>
      <c r="Y31" s="127"/>
      <c r="Z31" s="127"/>
      <c r="AA31" s="127"/>
      <c r="AB31" s="127"/>
      <c r="AC31" s="127"/>
      <c r="AD31" s="127"/>
      <c r="AE31" s="127"/>
      <c r="AF31" s="127"/>
      <c r="AG31" s="127"/>
      <c r="AH31" s="127"/>
      <c r="AI31" s="127"/>
      <c r="AJ31" s="127"/>
      <c r="AK31" s="127"/>
      <c r="AL31" s="127"/>
      <c r="AM31" s="127"/>
      <c r="AN31" s="127"/>
      <c r="AO31" s="127"/>
      <c r="AP31" s="127"/>
      <c r="AQ31" s="127"/>
      <c r="AR31" s="127"/>
      <c r="AS31" s="127"/>
      <c r="AT31" s="127"/>
      <c r="AU31" s="127"/>
      <c r="AV31" s="127"/>
      <c r="AW31" s="127"/>
      <c r="AX31" s="127"/>
      <c r="AY31" s="127"/>
      <c r="AZ31" s="127"/>
      <c r="BA31" s="127"/>
      <c r="BB31" s="127"/>
      <c r="BC31" s="127"/>
      <c r="BD31" s="127"/>
      <c r="BE31" s="127"/>
      <c r="BF31" s="127"/>
      <c r="BG31" s="127"/>
      <c r="BH31" s="126">
        <v>23</v>
      </c>
      <c r="BI31" s="126">
        <v>26</v>
      </c>
      <c r="BJ31" s="126">
        <v>30</v>
      </c>
      <c r="BK31" s="126" t="s">
        <v>80</v>
      </c>
      <c r="BL31" s="127"/>
      <c r="BM31" s="127"/>
      <c r="BN31" s="127"/>
      <c r="BO31" s="126">
        <f t="shared" si="3"/>
        <v>1</v>
      </c>
      <c r="BP31" s="126">
        <f t="shared" si="3"/>
        <v>0</v>
      </c>
      <c r="BQ31" s="126">
        <f t="shared" si="3"/>
        <v>0</v>
      </c>
      <c r="BR31" s="126">
        <f t="shared" si="3"/>
        <v>0</v>
      </c>
      <c r="BS31" s="127"/>
      <c r="BT31" s="10" t="s">
        <v>122</v>
      </c>
      <c r="BU31" s="10" t="s">
        <v>123</v>
      </c>
      <c r="BV31" s="10" t="s">
        <v>121</v>
      </c>
      <c r="BW31" s="10" t="s">
        <v>125</v>
      </c>
      <c r="BY31" s="10">
        <v>2</v>
      </c>
    </row>
    <row r="32" spans="1:77" x14ac:dyDescent="0.25">
      <c r="A32" s="129" t="s">
        <v>155</v>
      </c>
      <c r="B32" s="130">
        <f t="shared" si="2"/>
        <v>13</v>
      </c>
      <c r="C32" s="126">
        <v>36</v>
      </c>
      <c r="D32" s="126">
        <v>37</v>
      </c>
      <c r="E32" s="126">
        <v>38</v>
      </c>
      <c r="F32" s="126">
        <v>39</v>
      </c>
      <c r="G32" s="126">
        <v>40</v>
      </c>
      <c r="H32" s="126">
        <v>41</v>
      </c>
      <c r="I32" s="126">
        <v>42</v>
      </c>
      <c r="J32" s="126">
        <v>43</v>
      </c>
      <c r="K32" s="126">
        <v>44</v>
      </c>
      <c r="L32" s="126">
        <v>45</v>
      </c>
      <c r="M32" s="126">
        <v>46</v>
      </c>
      <c r="N32" s="126">
        <v>47</v>
      </c>
      <c r="O32" s="126">
        <v>48</v>
      </c>
      <c r="P32" s="127"/>
      <c r="Q32" s="127"/>
      <c r="R32" s="127"/>
      <c r="S32" s="127"/>
      <c r="T32" s="127"/>
      <c r="U32" s="127"/>
      <c r="V32" s="127"/>
      <c r="W32" s="127"/>
      <c r="X32" s="127"/>
      <c r="Y32" s="127"/>
      <c r="Z32" s="127"/>
      <c r="AA32" s="127"/>
      <c r="AB32" s="127"/>
      <c r="AC32" s="127"/>
      <c r="AD32" s="127"/>
      <c r="AE32" s="127"/>
      <c r="AF32" s="127"/>
      <c r="AG32" s="127"/>
      <c r="AH32" s="127"/>
      <c r="AI32" s="127"/>
      <c r="AJ32" s="127"/>
      <c r="AK32" s="127"/>
      <c r="AL32" s="127"/>
      <c r="AM32" s="127"/>
      <c r="AN32" s="127"/>
      <c r="AO32" s="127"/>
      <c r="AP32" s="127"/>
      <c r="AQ32" s="127"/>
      <c r="AR32" s="127"/>
      <c r="AS32" s="127"/>
      <c r="AT32" s="127"/>
      <c r="AU32" s="127"/>
      <c r="AV32" s="127"/>
      <c r="AW32" s="127"/>
      <c r="AX32" s="127"/>
      <c r="AY32" s="127"/>
      <c r="AZ32" s="127"/>
      <c r="BA32" s="127"/>
      <c r="BB32" s="127"/>
      <c r="BC32" s="127"/>
      <c r="BD32" s="127"/>
      <c r="BE32" s="127"/>
      <c r="BF32" s="127"/>
      <c r="BG32" s="127"/>
      <c r="BH32" s="126">
        <v>36</v>
      </c>
      <c r="BI32" s="126">
        <v>43</v>
      </c>
      <c r="BJ32" s="126">
        <v>48</v>
      </c>
      <c r="BK32" s="126" t="s">
        <v>80</v>
      </c>
      <c r="BL32" s="127"/>
      <c r="BM32" s="127"/>
      <c r="BN32" s="127"/>
      <c r="BO32" s="126">
        <f t="shared" si="3"/>
        <v>1</v>
      </c>
      <c r="BP32" s="126">
        <f t="shared" si="3"/>
        <v>0</v>
      </c>
      <c r="BQ32" s="126">
        <f t="shared" si="3"/>
        <v>0</v>
      </c>
      <c r="BR32" s="126">
        <f t="shared" si="3"/>
        <v>0</v>
      </c>
      <c r="BS32" s="127"/>
      <c r="BT32" s="10" t="s">
        <v>122</v>
      </c>
      <c r="BU32" s="10" t="s">
        <v>123</v>
      </c>
      <c r="BV32" s="10" t="s">
        <v>121</v>
      </c>
      <c r="BW32" s="10" t="s">
        <v>125</v>
      </c>
      <c r="BY32" s="10">
        <v>2</v>
      </c>
    </row>
    <row r="33" spans="1:77" x14ac:dyDescent="0.25">
      <c r="A33" s="129" t="s">
        <v>69</v>
      </c>
      <c r="B33" s="130">
        <f t="shared" si="2"/>
        <v>13</v>
      </c>
      <c r="C33" s="126">
        <v>36</v>
      </c>
      <c r="D33" s="126">
        <v>37</v>
      </c>
      <c r="E33" s="126">
        <v>38</v>
      </c>
      <c r="F33" s="126">
        <v>39</v>
      </c>
      <c r="G33" s="126">
        <v>40</v>
      </c>
      <c r="H33" s="126">
        <v>41</v>
      </c>
      <c r="I33" s="126">
        <v>42</v>
      </c>
      <c r="J33" s="126">
        <v>43</v>
      </c>
      <c r="K33" s="126">
        <v>44</v>
      </c>
      <c r="L33" s="126">
        <v>45</v>
      </c>
      <c r="M33" s="126">
        <v>46</v>
      </c>
      <c r="N33" s="126">
        <v>47</v>
      </c>
      <c r="O33" s="126">
        <v>48</v>
      </c>
      <c r="P33" s="127"/>
      <c r="Q33" s="127"/>
      <c r="R33" s="127"/>
      <c r="S33" s="127"/>
      <c r="T33" s="127"/>
      <c r="U33" s="127"/>
      <c r="V33" s="127"/>
      <c r="W33" s="127"/>
      <c r="X33" s="127"/>
      <c r="Y33" s="127"/>
      <c r="Z33" s="127"/>
      <c r="AA33" s="127"/>
      <c r="AB33" s="127"/>
      <c r="AC33" s="127"/>
      <c r="AD33" s="127"/>
      <c r="AE33" s="127"/>
      <c r="AF33" s="127"/>
      <c r="AG33" s="127"/>
      <c r="AH33" s="127"/>
      <c r="AI33" s="127"/>
      <c r="AJ33" s="127"/>
      <c r="AK33" s="127"/>
      <c r="AL33" s="127"/>
      <c r="AM33" s="127"/>
      <c r="AN33" s="127"/>
      <c r="AO33" s="127"/>
      <c r="AP33" s="127"/>
      <c r="AQ33" s="127"/>
      <c r="AR33" s="127"/>
      <c r="AS33" s="127"/>
      <c r="AT33" s="127"/>
      <c r="AU33" s="127"/>
      <c r="AV33" s="127"/>
      <c r="AW33" s="127"/>
      <c r="AX33" s="127"/>
      <c r="AY33" s="127"/>
      <c r="AZ33" s="127"/>
      <c r="BA33" s="127"/>
      <c r="BB33" s="127"/>
      <c r="BC33" s="127"/>
      <c r="BD33" s="127"/>
      <c r="BE33" s="127"/>
      <c r="BF33" s="127"/>
      <c r="BG33" s="127"/>
      <c r="BH33" s="126">
        <v>36</v>
      </c>
      <c r="BI33" s="126">
        <v>43</v>
      </c>
      <c r="BJ33" s="126">
        <v>48</v>
      </c>
      <c r="BK33" s="126" t="s">
        <v>80</v>
      </c>
      <c r="BL33" s="127"/>
      <c r="BM33" s="127"/>
      <c r="BN33" s="127"/>
      <c r="BO33" s="126">
        <f t="shared" si="3"/>
        <v>1</v>
      </c>
      <c r="BP33" s="126">
        <f t="shared" si="3"/>
        <v>0</v>
      </c>
      <c r="BQ33" s="126">
        <f t="shared" si="3"/>
        <v>0</v>
      </c>
      <c r="BR33" s="126">
        <f t="shared" si="3"/>
        <v>0</v>
      </c>
      <c r="BS33" s="127"/>
      <c r="BT33" s="132" t="s">
        <v>156</v>
      </c>
      <c r="BU33" s="132" t="s">
        <v>119</v>
      </c>
      <c r="BV33" s="10" t="s">
        <v>121</v>
      </c>
      <c r="BW33" s="10" t="s">
        <v>125</v>
      </c>
      <c r="BY33" s="10">
        <v>2</v>
      </c>
    </row>
    <row r="34" spans="1:77" x14ac:dyDescent="0.25">
      <c r="A34" s="129" t="s">
        <v>157</v>
      </c>
      <c r="B34" s="130">
        <f t="shared" si="2"/>
        <v>13</v>
      </c>
      <c r="C34" s="126">
        <v>45</v>
      </c>
      <c r="D34" s="126">
        <v>46</v>
      </c>
      <c r="E34" s="126">
        <v>47</v>
      </c>
      <c r="F34" s="126">
        <v>48</v>
      </c>
      <c r="G34" s="126">
        <v>49</v>
      </c>
      <c r="H34" s="126">
        <v>50</v>
      </c>
      <c r="I34" s="126">
        <v>51</v>
      </c>
      <c r="J34" s="126">
        <v>52</v>
      </c>
      <c r="K34" s="126">
        <v>53</v>
      </c>
      <c r="L34" s="126">
        <v>54</v>
      </c>
      <c r="M34" s="126">
        <v>55</v>
      </c>
      <c r="N34" s="126">
        <v>56</v>
      </c>
      <c r="O34" s="126">
        <v>57</v>
      </c>
      <c r="P34" s="127"/>
      <c r="Q34" s="127"/>
      <c r="R34" s="127"/>
      <c r="S34" s="127"/>
      <c r="T34" s="127"/>
      <c r="U34" s="127"/>
      <c r="V34" s="127"/>
      <c r="W34" s="127"/>
      <c r="X34" s="127"/>
      <c r="Y34" s="127"/>
      <c r="Z34" s="127"/>
      <c r="AA34" s="127"/>
      <c r="AB34" s="127"/>
      <c r="AC34" s="127"/>
      <c r="AD34" s="127"/>
      <c r="AE34" s="127"/>
      <c r="AF34" s="127"/>
      <c r="AG34" s="127"/>
      <c r="AH34" s="127"/>
      <c r="AI34" s="127"/>
      <c r="AJ34" s="127"/>
      <c r="AK34" s="127"/>
      <c r="AL34" s="127"/>
      <c r="AM34" s="127"/>
      <c r="AN34" s="127"/>
      <c r="AO34" s="127"/>
      <c r="AP34" s="127"/>
      <c r="AQ34" s="127"/>
      <c r="AR34" s="127"/>
      <c r="AS34" s="127"/>
      <c r="AT34" s="127"/>
      <c r="AU34" s="127"/>
      <c r="AV34" s="127"/>
      <c r="AW34" s="127"/>
      <c r="AX34" s="127"/>
      <c r="AY34" s="127"/>
      <c r="AZ34" s="127"/>
      <c r="BA34" s="127"/>
      <c r="BB34" s="127"/>
      <c r="BC34" s="127"/>
      <c r="BD34" s="127"/>
      <c r="BE34" s="127"/>
      <c r="BF34" s="127"/>
      <c r="BG34" s="127"/>
      <c r="BH34" s="126">
        <v>45</v>
      </c>
      <c r="BI34" s="126">
        <v>51</v>
      </c>
      <c r="BJ34" s="126">
        <v>57</v>
      </c>
      <c r="BK34" s="126" t="s">
        <v>80</v>
      </c>
      <c r="BL34" s="127"/>
      <c r="BM34" s="127"/>
      <c r="BN34" s="127"/>
      <c r="BO34" s="126">
        <f t="shared" si="3"/>
        <v>1</v>
      </c>
      <c r="BP34" s="126">
        <f t="shared" si="3"/>
        <v>0</v>
      </c>
      <c r="BQ34" s="126">
        <f t="shared" si="3"/>
        <v>0</v>
      </c>
      <c r="BR34" s="126">
        <f t="shared" si="3"/>
        <v>0</v>
      </c>
      <c r="BS34" s="127"/>
      <c r="BT34" s="10" t="s">
        <v>122</v>
      </c>
      <c r="BU34" s="10" t="s">
        <v>123</v>
      </c>
      <c r="BV34" s="10" t="s">
        <v>121</v>
      </c>
      <c r="BW34" s="10" t="s">
        <v>125</v>
      </c>
      <c r="BY34" s="10">
        <v>2</v>
      </c>
    </row>
    <row r="35" spans="1:77" x14ac:dyDescent="0.25">
      <c r="A35" s="129" t="s">
        <v>72</v>
      </c>
      <c r="B35" s="130">
        <f t="shared" si="2"/>
        <v>13</v>
      </c>
      <c r="C35" s="126">
        <v>45</v>
      </c>
      <c r="D35" s="126">
        <v>46</v>
      </c>
      <c r="E35" s="126">
        <v>47</v>
      </c>
      <c r="F35" s="126">
        <v>48</v>
      </c>
      <c r="G35" s="126">
        <v>49</v>
      </c>
      <c r="H35" s="126">
        <v>50</v>
      </c>
      <c r="I35" s="126">
        <v>51</v>
      </c>
      <c r="J35" s="126">
        <v>52</v>
      </c>
      <c r="K35" s="126">
        <v>53</v>
      </c>
      <c r="L35" s="126">
        <v>54</v>
      </c>
      <c r="M35" s="126">
        <v>55</v>
      </c>
      <c r="N35" s="126">
        <v>56</v>
      </c>
      <c r="O35" s="126">
        <v>57</v>
      </c>
      <c r="P35" s="127"/>
      <c r="Q35" s="127"/>
      <c r="R35" s="127"/>
      <c r="S35" s="127"/>
      <c r="T35" s="127"/>
      <c r="U35" s="127"/>
      <c r="V35" s="127"/>
      <c r="W35" s="127"/>
      <c r="X35" s="127"/>
      <c r="Y35" s="127"/>
      <c r="Z35" s="127"/>
      <c r="AA35" s="127"/>
      <c r="AB35" s="127"/>
      <c r="AC35" s="127"/>
      <c r="AD35" s="127"/>
      <c r="AE35" s="127"/>
      <c r="AF35" s="127"/>
      <c r="AG35" s="127"/>
      <c r="AH35" s="127"/>
      <c r="AI35" s="127"/>
      <c r="AJ35" s="127"/>
      <c r="AK35" s="127"/>
      <c r="AL35" s="127"/>
      <c r="AM35" s="127"/>
      <c r="AN35" s="127"/>
      <c r="AO35" s="127"/>
      <c r="AP35" s="127"/>
      <c r="AQ35" s="127"/>
      <c r="AR35" s="127"/>
      <c r="AS35" s="127"/>
      <c r="AT35" s="127"/>
      <c r="AU35" s="127"/>
      <c r="AV35" s="127"/>
      <c r="AW35" s="127"/>
      <c r="AX35" s="127"/>
      <c r="AY35" s="127"/>
      <c r="AZ35" s="127"/>
      <c r="BA35" s="127"/>
      <c r="BB35" s="127"/>
      <c r="BC35" s="127"/>
      <c r="BD35" s="127"/>
      <c r="BE35" s="127"/>
      <c r="BF35" s="127"/>
      <c r="BG35" s="127"/>
      <c r="BH35" s="126">
        <v>45</v>
      </c>
      <c r="BI35" s="126">
        <v>51</v>
      </c>
      <c r="BJ35" s="126">
        <v>57</v>
      </c>
      <c r="BK35" s="126" t="s">
        <v>80</v>
      </c>
      <c r="BL35" s="127"/>
      <c r="BM35" s="127"/>
      <c r="BN35" s="127"/>
      <c r="BO35" s="126">
        <f t="shared" si="3"/>
        <v>1</v>
      </c>
      <c r="BP35" s="126">
        <f t="shared" si="3"/>
        <v>0</v>
      </c>
      <c r="BQ35" s="126">
        <f t="shared" si="3"/>
        <v>0</v>
      </c>
      <c r="BR35" s="126">
        <f t="shared" si="3"/>
        <v>0</v>
      </c>
      <c r="BS35" s="127"/>
      <c r="BT35" s="132" t="s">
        <v>158</v>
      </c>
      <c r="BU35" s="132" t="s">
        <v>159</v>
      </c>
      <c r="BV35" s="10" t="s">
        <v>121</v>
      </c>
      <c r="BW35" s="10" t="s">
        <v>125</v>
      </c>
      <c r="BY35" s="10">
        <v>2</v>
      </c>
    </row>
    <row r="36" spans="1:77" x14ac:dyDescent="0.25">
      <c r="A36" s="129" t="s">
        <v>160</v>
      </c>
      <c r="B36" s="130">
        <f t="shared" si="2"/>
        <v>26</v>
      </c>
      <c r="C36" s="126">
        <v>1</v>
      </c>
      <c r="D36" s="126">
        <v>2</v>
      </c>
      <c r="E36" s="126">
        <v>3</v>
      </c>
      <c r="F36" s="126">
        <v>4</v>
      </c>
      <c r="G36" s="126">
        <v>5</v>
      </c>
      <c r="H36" s="126">
        <v>6</v>
      </c>
      <c r="I36" s="126">
        <v>7</v>
      </c>
      <c r="J36" s="126">
        <v>8</v>
      </c>
      <c r="K36" s="126">
        <v>9</v>
      </c>
      <c r="L36" s="126">
        <v>10</v>
      </c>
      <c r="M36" s="126">
        <v>11</v>
      </c>
      <c r="N36" s="126">
        <v>12</v>
      </c>
      <c r="O36" s="126">
        <v>13</v>
      </c>
      <c r="P36" s="126">
        <v>14</v>
      </c>
      <c r="Q36" s="126">
        <v>15</v>
      </c>
      <c r="R36" s="126">
        <v>16</v>
      </c>
      <c r="S36" s="126">
        <v>17</v>
      </c>
      <c r="T36" s="126">
        <v>18</v>
      </c>
      <c r="U36" s="126">
        <v>19</v>
      </c>
      <c r="V36" s="126">
        <v>20</v>
      </c>
      <c r="W36" s="126">
        <v>21</v>
      </c>
      <c r="X36" s="126">
        <v>22</v>
      </c>
      <c r="Y36" s="126">
        <v>23</v>
      </c>
      <c r="Z36" s="126">
        <v>24</v>
      </c>
      <c r="AA36" s="126">
        <v>25</v>
      </c>
      <c r="AB36" s="126">
        <v>26</v>
      </c>
      <c r="AC36" s="127"/>
      <c r="AD36" s="127"/>
      <c r="AE36" s="127"/>
      <c r="AF36" s="127"/>
      <c r="AG36" s="127"/>
      <c r="AH36" s="127"/>
      <c r="AI36" s="127"/>
      <c r="AJ36" s="127"/>
      <c r="AK36" s="127"/>
      <c r="AL36" s="127"/>
      <c r="AM36" s="127"/>
      <c r="AN36" s="127"/>
      <c r="AO36" s="127"/>
      <c r="AP36" s="127"/>
      <c r="AQ36" s="127"/>
      <c r="AR36" s="127"/>
      <c r="AS36" s="127"/>
      <c r="AT36" s="127"/>
      <c r="AU36" s="127"/>
      <c r="AV36" s="127"/>
      <c r="AW36" s="127"/>
      <c r="AX36" s="127"/>
      <c r="AY36" s="127"/>
      <c r="AZ36" s="127"/>
      <c r="BA36" s="127"/>
      <c r="BB36" s="127"/>
      <c r="BC36" s="127"/>
      <c r="BD36" s="127"/>
      <c r="BE36" s="127"/>
      <c r="BF36" s="127"/>
      <c r="BG36" s="127"/>
      <c r="BH36" s="126">
        <v>1</v>
      </c>
      <c r="BI36" s="126">
        <v>17</v>
      </c>
      <c r="BJ36" s="126">
        <v>26</v>
      </c>
      <c r="BK36" s="126" t="s">
        <v>80</v>
      </c>
      <c r="BL36" s="127"/>
      <c r="BM36" s="127"/>
      <c r="BN36" s="127"/>
      <c r="BO36" s="126">
        <f t="shared" si="3"/>
        <v>1</v>
      </c>
      <c r="BP36" s="126">
        <f t="shared" si="3"/>
        <v>0</v>
      </c>
      <c r="BQ36" s="126">
        <f t="shared" si="3"/>
        <v>0</v>
      </c>
      <c r="BR36" s="126">
        <f t="shared" si="3"/>
        <v>0</v>
      </c>
      <c r="BS36" s="127"/>
      <c r="BT36" s="132" t="s">
        <v>133</v>
      </c>
      <c r="BU36" s="132" t="s">
        <v>134</v>
      </c>
      <c r="BV36" s="10" t="s">
        <v>120</v>
      </c>
      <c r="BW36" s="10" t="s">
        <v>125</v>
      </c>
      <c r="BY36" s="10">
        <v>2</v>
      </c>
    </row>
    <row r="37" spans="1:77" x14ac:dyDescent="0.25">
      <c r="A37" s="10" t="s">
        <v>161</v>
      </c>
      <c r="B37" s="130">
        <f t="shared" si="2"/>
        <v>20</v>
      </c>
      <c r="C37" s="126">
        <v>1</v>
      </c>
      <c r="D37" s="126">
        <v>2</v>
      </c>
      <c r="E37" s="126">
        <v>3</v>
      </c>
      <c r="F37" s="126">
        <v>4</v>
      </c>
      <c r="G37" s="126">
        <v>5</v>
      </c>
      <c r="H37" s="126">
        <v>6</v>
      </c>
      <c r="I37" s="126">
        <v>7</v>
      </c>
      <c r="J37" s="126">
        <v>8</v>
      </c>
      <c r="K37" s="126">
        <v>9</v>
      </c>
      <c r="L37" s="126">
        <v>10</v>
      </c>
      <c r="M37" s="126">
        <v>11</v>
      </c>
      <c r="N37" s="126">
        <v>12</v>
      </c>
      <c r="O37" s="126">
        <v>13</v>
      </c>
      <c r="P37" s="126">
        <v>14</v>
      </c>
      <c r="Q37" s="126">
        <v>15</v>
      </c>
      <c r="R37" s="126">
        <v>16</v>
      </c>
      <c r="S37" s="126">
        <v>17</v>
      </c>
      <c r="T37" s="126">
        <v>18</v>
      </c>
      <c r="U37" s="126">
        <v>19</v>
      </c>
      <c r="V37" s="126">
        <v>20</v>
      </c>
      <c r="BH37" s="10">
        <v>1</v>
      </c>
      <c r="BK37" s="10" t="s">
        <v>80</v>
      </c>
      <c r="BO37" s="10">
        <v>1</v>
      </c>
      <c r="BT37" s="10" t="s">
        <v>162</v>
      </c>
      <c r="BU37" s="10" t="s">
        <v>163</v>
      </c>
      <c r="BV37" s="10" t="s">
        <v>120</v>
      </c>
      <c r="BW37" s="10" t="s">
        <v>125</v>
      </c>
      <c r="BY37" s="10">
        <v>2</v>
      </c>
    </row>
    <row r="38" spans="1:77" x14ac:dyDescent="0.25">
      <c r="A38" s="10" t="s">
        <v>164</v>
      </c>
      <c r="B38" s="130">
        <f t="shared" si="2"/>
        <v>6</v>
      </c>
      <c r="C38" s="126">
        <v>1</v>
      </c>
      <c r="D38" s="126">
        <v>2</v>
      </c>
      <c r="E38" s="126">
        <v>3</v>
      </c>
      <c r="F38" s="126">
        <v>4</v>
      </c>
      <c r="G38" s="126">
        <v>5</v>
      </c>
      <c r="H38" s="126">
        <v>6</v>
      </c>
      <c r="BH38" s="10">
        <v>1</v>
      </c>
      <c r="BJ38" s="10">
        <v>6</v>
      </c>
      <c r="BK38" s="10" t="s">
        <v>80</v>
      </c>
      <c r="BO38" s="10">
        <v>1</v>
      </c>
      <c r="BP38" s="10">
        <v>0</v>
      </c>
      <c r="BQ38" s="10">
        <v>0</v>
      </c>
      <c r="BR38" s="10">
        <v>0</v>
      </c>
      <c r="BS38" s="127"/>
      <c r="BT38" s="10" t="s">
        <v>162</v>
      </c>
      <c r="BU38" s="10" t="s">
        <v>163</v>
      </c>
      <c r="BV38" s="10" t="s">
        <v>120</v>
      </c>
      <c r="BW38" s="10" t="s">
        <v>125</v>
      </c>
      <c r="BY38" s="10">
        <v>2</v>
      </c>
    </row>
    <row r="39" spans="1:77" x14ac:dyDescent="0.25">
      <c r="A39" s="10" t="s">
        <v>165</v>
      </c>
      <c r="B39" s="130">
        <f t="shared" si="2"/>
        <v>6</v>
      </c>
      <c r="C39" s="10">
        <v>7</v>
      </c>
      <c r="D39" s="10">
        <v>8</v>
      </c>
      <c r="E39" s="10">
        <v>9</v>
      </c>
      <c r="F39" s="10">
        <v>10</v>
      </c>
      <c r="G39" s="10">
        <v>11</v>
      </c>
      <c r="H39" s="10">
        <v>12</v>
      </c>
      <c r="BH39" s="10">
        <v>7</v>
      </c>
      <c r="BJ39" s="10">
        <v>12</v>
      </c>
      <c r="BK39" s="10" t="s">
        <v>80</v>
      </c>
      <c r="BO39" s="10">
        <v>1</v>
      </c>
      <c r="BP39" s="10">
        <v>0</v>
      </c>
      <c r="BQ39" s="10">
        <v>0</v>
      </c>
      <c r="BR39" s="10">
        <v>0</v>
      </c>
      <c r="BS39" s="127"/>
      <c r="BT39" s="10" t="s">
        <v>162</v>
      </c>
      <c r="BU39" s="10" t="s">
        <v>163</v>
      </c>
      <c r="BV39" s="10" t="s">
        <v>120</v>
      </c>
      <c r="BW39" s="10" t="s">
        <v>125</v>
      </c>
      <c r="BY39" s="10">
        <v>2</v>
      </c>
    </row>
    <row r="40" spans="1:77" x14ac:dyDescent="0.25">
      <c r="A40" s="10" t="s">
        <v>166</v>
      </c>
      <c r="B40" s="130">
        <f t="shared" si="2"/>
        <v>7</v>
      </c>
      <c r="C40" s="10">
        <v>13</v>
      </c>
      <c r="D40" s="10">
        <v>14</v>
      </c>
      <c r="E40" s="10">
        <v>15</v>
      </c>
      <c r="F40" s="10">
        <v>16</v>
      </c>
      <c r="G40" s="10">
        <v>17</v>
      </c>
      <c r="H40" s="10">
        <v>18</v>
      </c>
      <c r="I40" s="10">
        <v>19</v>
      </c>
      <c r="BH40" s="10">
        <v>13</v>
      </c>
      <c r="BJ40" s="10">
        <v>19</v>
      </c>
      <c r="BK40" s="10" t="s">
        <v>80</v>
      </c>
      <c r="BO40" s="10">
        <v>1</v>
      </c>
      <c r="BP40" s="10">
        <v>0</v>
      </c>
      <c r="BQ40" s="10">
        <v>0</v>
      </c>
      <c r="BR40" s="10">
        <v>0</v>
      </c>
      <c r="BS40" s="127"/>
      <c r="BT40" s="10" t="s">
        <v>162</v>
      </c>
      <c r="BU40" s="10" t="s">
        <v>163</v>
      </c>
      <c r="BV40" s="10" t="s">
        <v>120</v>
      </c>
      <c r="BW40" s="10" t="s">
        <v>125</v>
      </c>
      <c r="BY40" s="10">
        <v>2</v>
      </c>
    </row>
    <row r="41" spans="1:77" x14ac:dyDescent="0.25">
      <c r="A41" s="10" t="s">
        <v>167</v>
      </c>
      <c r="B41" s="130">
        <f t="shared" si="2"/>
        <v>1</v>
      </c>
      <c r="C41" s="10">
        <v>20</v>
      </c>
      <c r="BH41" s="10">
        <v>20</v>
      </c>
      <c r="BK41" s="10" t="s">
        <v>80</v>
      </c>
      <c r="BO41" s="10">
        <v>1</v>
      </c>
      <c r="BP41" s="10">
        <v>0</v>
      </c>
      <c r="BQ41" s="10">
        <v>0</v>
      </c>
      <c r="BR41" s="10">
        <v>0</v>
      </c>
      <c r="BS41" s="127"/>
      <c r="BT41" s="10" t="s">
        <v>162</v>
      </c>
      <c r="BU41" s="10" t="s">
        <v>163</v>
      </c>
      <c r="BV41" s="10" t="s">
        <v>120</v>
      </c>
      <c r="BW41" s="10" t="s">
        <v>125</v>
      </c>
      <c r="BY41" s="10">
        <v>2</v>
      </c>
    </row>
    <row r="42" spans="1:77" x14ac:dyDescent="0.25">
      <c r="A42" s="131" t="s">
        <v>168</v>
      </c>
      <c r="B42" s="130">
        <f t="shared" si="2"/>
        <v>10</v>
      </c>
      <c r="C42" s="126">
        <v>3</v>
      </c>
      <c r="D42" s="126">
        <v>4</v>
      </c>
      <c r="E42" s="126">
        <v>5</v>
      </c>
      <c r="F42" s="126">
        <v>6</v>
      </c>
      <c r="G42" s="126">
        <v>7</v>
      </c>
      <c r="H42" s="126">
        <v>8</v>
      </c>
      <c r="I42" s="126">
        <v>9</v>
      </c>
      <c r="J42" s="126">
        <v>10</v>
      </c>
      <c r="K42" s="126">
        <v>11</v>
      </c>
      <c r="L42" s="126">
        <v>12</v>
      </c>
      <c r="M42" s="126"/>
      <c r="N42" s="126"/>
      <c r="O42" s="127"/>
      <c r="P42" s="127"/>
      <c r="Q42" s="127"/>
      <c r="R42" s="127"/>
      <c r="S42" s="127"/>
      <c r="T42" s="127"/>
      <c r="U42" s="127"/>
      <c r="V42" s="127"/>
      <c r="W42" s="127"/>
      <c r="X42" s="127"/>
      <c r="Y42" s="127"/>
      <c r="Z42" s="127"/>
      <c r="AA42" s="127"/>
      <c r="AB42" s="127"/>
      <c r="AC42" s="127"/>
      <c r="AD42" s="127"/>
      <c r="AE42" s="127"/>
      <c r="AF42" s="127"/>
      <c r="AG42" s="127"/>
      <c r="AH42" s="127"/>
      <c r="AI42" s="127"/>
      <c r="AJ42" s="127"/>
      <c r="AK42" s="127"/>
      <c r="AL42" s="127"/>
      <c r="AM42" s="127"/>
      <c r="AN42" s="127"/>
      <c r="AO42" s="127"/>
      <c r="AP42" s="127"/>
      <c r="AQ42" s="127"/>
      <c r="AR42" s="127"/>
      <c r="AS42" s="127"/>
      <c r="AT42" s="127"/>
      <c r="AU42" s="127"/>
      <c r="AV42" s="127"/>
      <c r="AW42" s="127"/>
      <c r="AX42" s="127"/>
      <c r="AY42" s="127"/>
      <c r="AZ42" s="127"/>
      <c r="BA42" s="127"/>
      <c r="BB42" s="127"/>
      <c r="BC42" s="127"/>
      <c r="BD42" s="127"/>
      <c r="BE42" s="127"/>
      <c r="BF42" s="127"/>
      <c r="BG42" s="127"/>
      <c r="BH42" s="126">
        <v>3</v>
      </c>
      <c r="BI42" s="126">
        <v>6</v>
      </c>
      <c r="BJ42" s="126">
        <v>12</v>
      </c>
      <c r="BK42" s="126" t="s">
        <v>82</v>
      </c>
      <c r="BL42" s="126" t="s">
        <v>83</v>
      </c>
      <c r="BM42" s="127"/>
      <c r="BN42" s="127"/>
      <c r="BO42" s="126">
        <f t="shared" ref="BO42:BR49" si="4">COUNTIF($BK42:$BN42,BO$1)</f>
        <v>0</v>
      </c>
      <c r="BP42" s="126">
        <f t="shared" si="4"/>
        <v>0</v>
      </c>
      <c r="BQ42" s="126">
        <f t="shared" si="4"/>
        <v>1</v>
      </c>
      <c r="BR42" s="126">
        <f t="shared" si="4"/>
        <v>1</v>
      </c>
      <c r="BS42" s="127" t="s">
        <v>119</v>
      </c>
      <c r="BT42" s="10" t="s">
        <v>122</v>
      </c>
      <c r="BU42" s="10" t="s">
        <v>123</v>
      </c>
      <c r="BV42" s="10" t="s">
        <v>125</v>
      </c>
      <c r="BW42" s="10" t="s">
        <v>120</v>
      </c>
      <c r="BY42" s="10">
        <v>2</v>
      </c>
    </row>
    <row r="43" spans="1:77" x14ac:dyDescent="0.25">
      <c r="A43" s="131" t="s">
        <v>169</v>
      </c>
      <c r="B43" s="130">
        <f t="shared" si="2"/>
        <v>13</v>
      </c>
      <c r="C43" s="126">
        <v>9</v>
      </c>
      <c r="D43" s="126">
        <v>10</v>
      </c>
      <c r="E43" s="126">
        <v>11</v>
      </c>
      <c r="F43" s="126">
        <v>12</v>
      </c>
      <c r="G43" s="126">
        <v>13</v>
      </c>
      <c r="H43" s="126">
        <v>14</v>
      </c>
      <c r="I43" s="126">
        <v>15</v>
      </c>
      <c r="J43" s="126">
        <v>16</v>
      </c>
      <c r="K43" s="126">
        <v>17</v>
      </c>
      <c r="L43" s="126">
        <v>18</v>
      </c>
      <c r="M43" s="126">
        <v>19</v>
      </c>
      <c r="N43" s="126">
        <v>20</v>
      </c>
      <c r="O43" s="126">
        <v>21</v>
      </c>
      <c r="P43" s="127"/>
      <c r="Q43" s="127"/>
      <c r="R43" s="127"/>
      <c r="S43" s="127"/>
      <c r="T43" s="127"/>
      <c r="U43" s="127"/>
      <c r="V43" s="127"/>
      <c r="W43" s="127"/>
      <c r="X43" s="127"/>
      <c r="Y43" s="127"/>
      <c r="Z43" s="127"/>
      <c r="AA43" s="127"/>
      <c r="AB43" s="127"/>
      <c r="AC43" s="127"/>
      <c r="AD43" s="127"/>
      <c r="AE43" s="127"/>
      <c r="AF43" s="127"/>
      <c r="AG43" s="127"/>
      <c r="AH43" s="127"/>
      <c r="AI43" s="127"/>
      <c r="AJ43" s="127"/>
      <c r="AK43" s="127"/>
      <c r="AL43" s="127"/>
      <c r="AM43" s="127"/>
      <c r="AN43" s="127"/>
      <c r="AO43" s="127"/>
      <c r="AP43" s="127"/>
      <c r="AQ43" s="127"/>
      <c r="AR43" s="127"/>
      <c r="AS43" s="127"/>
      <c r="AT43" s="127"/>
      <c r="AU43" s="127"/>
      <c r="AV43" s="127"/>
      <c r="AW43" s="127"/>
      <c r="AX43" s="127"/>
      <c r="AY43" s="127"/>
      <c r="AZ43" s="127"/>
      <c r="BA43" s="127"/>
      <c r="BB43" s="127"/>
      <c r="BC43" s="127"/>
      <c r="BD43" s="127"/>
      <c r="BE43" s="127"/>
      <c r="BF43" s="127"/>
      <c r="BG43" s="127"/>
      <c r="BH43" s="126">
        <v>9</v>
      </c>
      <c r="BI43" s="126">
        <v>15</v>
      </c>
      <c r="BJ43" s="126">
        <v>21</v>
      </c>
      <c r="BK43" s="126" t="s">
        <v>82</v>
      </c>
      <c r="BL43" s="126" t="s">
        <v>83</v>
      </c>
      <c r="BM43" s="127"/>
      <c r="BN43" s="127"/>
      <c r="BO43" s="126">
        <f t="shared" si="4"/>
        <v>0</v>
      </c>
      <c r="BP43" s="126">
        <f t="shared" si="4"/>
        <v>0</v>
      </c>
      <c r="BQ43" s="126">
        <f t="shared" si="4"/>
        <v>1</v>
      </c>
      <c r="BR43" s="126">
        <f t="shared" si="4"/>
        <v>1</v>
      </c>
      <c r="BS43" s="127"/>
      <c r="BT43" s="10" t="s">
        <v>122</v>
      </c>
      <c r="BU43" s="10" t="s">
        <v>123</v>
      </c>
      <c r="BV43" s="10" t="s">
        <v>125</v>
      </c>
      <c r="BW43" s="10" t="s">
        <v>120</v>
      </c>
      <c r="BY43" s="10">
        <v>2</v>
      </c>
    </row>
    <row r="44" spans="1:77" x14ac:dyDescent="0.25">
      <c r="A44" s="131" t="s">
        <v>170</v>
      </c>
      <c r="B44" s="130">
        <f t="shared" si="2"/>
        <v>13</v>
      </c>
      <c r="C44" s="126">
        <v>18</v>
      </c>
      <c r="D44" s="126">
        <v>19</v>
      </c>
      <c r="E44" s="126">
        <v>20</v>
      </c>
      <c r="F44" s="126">
        <v>21</v>
      </c>
      <c r="G44" s="126">
        <v>22</v>
      </c>
      <c r="H44" s="126">
        <v>23</v>
      </c>
      <c r="I44" s="126">
        <v>24</v>
      </c>
      <c r="J44" s="126">
        <v>25</v>
      </c>
      <c r="K44" s="126">
        <v>26</v>
      </c>
      <c r="L44" s="126">
        <v>27</v>
      </c>
      <c r="M44" s="126">
        <v>28</v>
      </c>
      <c r="N44" s="126">
        <v>29</v>
      </c>
      <c r="O44" s="126">
        <v>30</v>
      </c>
      <c r="P44" s="127"/>
      <c r="Q44" s="127"/>
      <c r="R44" s="127"/>
      <c r="S44" s="127"/>
      <c r="T44" s="127"/>
      <c r="U44" s="127"/>
      <c r="V44" s="127"/>
      <c r="W44" s="127"/>
      <c r="X44" s="127"/>
      <c r="Y44" s="127"/>
      <c r="Z44" s="127"/>
      <c r="AA44" s="127"/>
      <c r="AB44" s="127"/>
      <c r="AC44" s="127"/>
      <c r="AD44" s="127"/>
      <c r="AE44" s="127"/>
      <c r="AF44" s="127"/>
      <c r="AG44" s="127"/>
      <c r="AH44" s="127"/>
      <c r="AI44" s="127"/>
      <c r="AJ44" s="127"/>
      <c r="AK44" s="127"/>
      <c r="AL44" s="127"/>
      <c r="AM44" s="127"/>
      <c r="AN44" s="127"/>
      <c r="AO44" s="127"/>
      <c r="AP44" s="127"/>
      <c r="AQ44" s="127"/>
      <c r="AR44" s="127"/>
      <c r="AS44" s="127"/>
      <c r="AT44" s="127"/>
      <c r="AU44" s="127"/>
      <c r="AV44" s="127"/>
      <c r="AW44" s="127"/>
      <c r="AX44" s="127"/>
      <c r="AY44" s="127"/>
      <c r="AZ44" s="127"/>
      <c r="BA44" s="127"/>
      <c r="BB44" s="127"/>
      <c r="BC44" s="127"/>
      <c r="BD44" s="127"/>
      <c r="BE44" s="127"/>
      <c r="BF44" s="127"/>
      <c r="BG44" s="127"/>
      <c r="BH44" s="126">
        <v>18</v>
      </c>
      <c r="BI44" s="126">
        <v>24</v>
      </c>
      <c r="BJ44" s="126">
        <v>30</v>
      </c>
      <c r="BK44" s="126" t="s">
        <v>82</v>
      </c>
      <c r="BL44" s="126" t="s">
        <v>83</v>
      </c>
      <c r="BM44" s="127"/>
      <c r="BN44" s="127"/>
      <c r="BO44" s="126">
        <f t="shared" si="4"/>
        <v>0</v>
      </c>
      <c r="BP44" s="126">
        <f t="shared" si="4"/>
        <v>0</v>
      </c>
      <c r="BQ44" s="126">
        <f t="shared" si="4"/>
        <v>1</v>
      </c>
      <c r="BR44" s="126">
        <f t="shared" si="4"/>
        <v>1</v>
      </c>
      <c r="BS44" s="127"/>
      <c r="BT44" s="10" t="s">
        <v>122</v>
      </c>
      <c r="BU44" s="10" t="s">
        <v>123</v>
      </c>
      <c r="BV44" s="10" t="s">
        <v>125</v>
      </c>
      <c r="BW44" s="10" t="s">
        <v>120</v>
      </c>
      <c r="BY44" s="10">
        <v>2</v>
      </c>
    </row>
    <row r="45" spans="1:77" x14ac:dyDescent="0.25">
      <c r="A45" s="131" t="s">
        <v>171</v>
      </c>
      <c r="B45" s="130">
        <f t="shared" si="2"/>
        <v>13</v>
      </c>
      <c r="C45" s="126">
        <v>27</v>
      </c>
      <c r="D45" s="126">
        <v>28</v>
      </c>
      <c r="E45" s="126">
        <v>29</v>
      </c>
      <c r="F45" s="126">
        <v>30</v>
      </c>
      <c r="G45" s="126">
        <v>31</v>
      </c>
      <c r="H45" s="126">
        <v>32</v>
      </c>
      <c r="I45" s="126">
        <v>33</v>
      </c>
      <c r="J45" s="126">
        <v>34</v>
      </c>
      <c r="K45" s="126">
        <v>35</v>
      </c>
      <c r="L45" s="126">
        <v>36</v>
      </c>
      <c r="M45" s="126">
        <v>37</v>
      </c>
      <c r="N45" s="126">
        <v>38</v>
      </c>
      <c r="O45" s="126">
        <v>39</v>
      </c>
      <c r="P45" s="127"/>
      <c r="Q45" s="127"/>
      <c r="R45" s="127"/>
      <c r="S45" s="127"/>
      <c r="T45" s="127"/>
      <c r="U45" s="127"/>
      <c r="V45" s="127"/>
      <c r="W45" s="127"/>
      <c r="X45" s="127"/>
      <c r="Y45" s="127"/>
      <c r="Z45" s="127"/>
      <c r="AA45" s="127"/>
      <c r="AB45" s="127"/>
      <c r="AC45" s="127"/>
      <c r="AD45" s="127"/>
      <c r="AE45" s="127"/>
      <c r="AF45" s="127"/>
      <c r="AG45" s="127"/>
      <c r="AH45" s="127"/>
      <c r="AI45" s="127"/>
      <c r="AJ45" s="127"/>
      <c r="AK45" s="127"/>
      <c r="AL45" s="127"/>
      <c r="AM45" s="127"/>
      <c r="AN45" s="127"/>
      <c r="AO45" s="127"/>
      <c r="AP45" s="127"/>
      <c r="AQ45" s="127"/>
      <c r="AR45" s="127"/>
      <c r="AS45" s="127"/>
      <c r="AT45" s="127"/>
      <c r="AU45" s="127"/>
      <c r="AV45" s="127"/>
      <c r="AW45" s="127"/>
      <c r="AX45" s="127"/>
      <c r="AY45" s="127"/>
      <c r="AZ45" s="127"/>
      <c r="BA45" s="127"/>
      <c r="BB45" s="127"/>
      <c r="BC45" s="127"/>
      <c r="BD45" s="127"/>
      <c r="BE45" s="127"/>
      <c r="BF45" s="127"/>
      <c r="BG45" s="127"/>
      <c r="BH45" s="126">
        <v>27</v>
      </c>
      <c r="BI45" s="126">
        <v>36</v>
      </c>
      <c r="BJ45" s="126">
        <v>39</v>
      </c>
      <c r="BK45" s="126" t="s">
        <v>80</v>
      </c>
      <c r="BL45" s="127"/>
      <c r="BM45" s="127"/>
      <c r="BN45" s="127"/>
      <c r="BO45" s="126">
        <f t="shared" si="4"/>
        <v>1</v>
      </c>
      <c r="BP45" s="126">
        <f t="shared" si="4"/>
        <v>0</v>
      </c>
      <c r="BQ45" s="126">
        <f t="shared" si="4"/>
        <v>0</v>
      </c>
      <c r="BR45" s="126">
        <f t="shared" si="4"/>
        <v>0</v>
      </c>
      <c r="BS45" s="127"/>
      <c r="BT45" s="10" t="s">
        <v>122</v>
      </c>
      <c r="BU45" s="10" t="s">
        <v>123</v>
      </c>
      <c r="BV45" s="10" t="s">
        <v>121</v>
      </c>
      <c r="BW45" s="10" t="s">
        <v>125</v>
      </c>
      <c r="BY45" s="10">
        <v>2</v>
      </c>
    </row>
    <row r="46" spans="1:77" x14ac:dyDescent="0.25">
      <c r="A46" s="131" t="s">
        <v>172</v>
      </c>
      <c r="B46" s="130">
        <f t="shared" si="2"/>
        <v>13</v>
      </c>
      <c r="C46" s="126">
        <v>36</v>
      </c>
      <c r="D46" s="126">
        <v>37</v>
      </c>
      <c r="E46" s="126">
        <v>38</v>
      </c>
      <c r="F46" s="126">
        <v>39</v>
      </c>
      <c r="G46" s="126">
        <v>40</v>
      </c>
      <c r="H46" s="126">
        <v>41</v>
      </c>
      <c r="I46" s="126">
        <v>42</v>
      </c>
      <c r="J46" s="126">
        <v>43</v>
      </c>
      <c r="K46" s="126">
        <v>44</v>
      </c>
      <c r="L46" s="126">
        <v>45</v>
      </c>
      <c r="M46" s="126">
        <v>46</v>
      </c>
      <c r="N46" s="126">
        <v>47</v>
      </c>
      <c r="O46" s="126">
        <v>48</v>
      </c>
      <c r="P46" s="127"/>
      <c r="Q46" s="127"/>
      <c r="R46" s="127"/>
      <c r="S46" s="127"/>
      <c r="T46" s="127"/>
      <c r="U46" s="127"/>
      <c r="V46" s="127"/>
      <c r="W46" s="127"/>
      <c r="X46" s="127"/>
      <c r="Y46" s="127"/>
      <c r="Z46" s="127"/>
      <c r="AA46" s="127"/>
      <c r="AB46" s="127"/>
      <c r="AC46" s="127"/>
      <c r="AD46" s="127"/>
      <c r="AE46" s="127"/>
      <c r="AF46" s="127"/>
      <c r="AG46" s="127"/>
      <c r="AH46" s="127"/>
      <c r="AI46" s="127"/>
      <c r="AJ46" s="127"/>
      <c r="AK46" s="127"/>
      <c r="AL46" s="127"/>
      <c r="AM46" s="127"/>
      <c r="AN46" s="127"/>
      <c r="AO46" s="127"/>
      <c r="AP46" s="127"/>
      <c r="AQ46" s="127"/>
      <c r="AR46" s="127"/>
      <c r="AS46" s="127"/>
      <c r="AT46" s="127"/>
      <c r="AU46" s="127"/>
      <c r="AV46" s="127"/>
      <c r="AW46" s="127"/>
      <c r="AX46" s="127"/>
      <c r="AY46" s="127"/>
      <c r="AZ46" s="127"/>
      <c r="BA46" s="127"/>
      <c r="BB46" s="127"/>
      <c r="BC46" s="127"/>
      <c r="BD46" s="127"/>
      <c r="BE46" s="127"/>
      <c r="BF46" s="127"/>
      <c r="BG46" s="127"/>
      <c r="BH46" s="126">
        <v>36</v>
      </c>
      <c r="BI46" s="126">
        <v>43</v>
      </c>
      <c r="BJ46" s="126">
        <v>48</v>
      </c>
      <c r="BK46" s="126" t="s">
        <v>80</v>
      </c>
      <c r="BL46" s="127"/>
      <c r="BM46" s="127"/>
      <c r="BN46" s="127"/>
      <c r="BO46" s="126">
        <f t="shared" si="4"/>
        <v>1</v>
      </c>
      <c r="BP46" s="126">
        <f t="shared" si="4"/>
        <v>0</v>
      </c>
      <c r="BQ46" s="126">
        <f t="shared" si="4"/>
        <v>0</v>
      </c>
      <c r="BR46" s="126">
        <f t="shared" si="4"/>
        <v>0</v>
      </c>
      <c r="BS46" s="127"/>
      <c r="BT46" s="10" t="s">
        <v>122</v>
      </c>
      <c r="BU46" s="10" t="s">
        <v>123</v>
      </c>
      <c r="BV46" s="10" t="s">
        <v>121</v>
      </c>
      <c r="BW46" s="10" t="s">
        <v>125</v>
      </c>
      <c r="BY46" s="10">
        <v>2</v>
      </c>
    </row>
    <row r="47" spans="1:77" x14ac:dyDescent="0.25">
      <c r="A47" s="131" t="s">
        <v>173</v>
      </c>
      <c r="B47" s="130">
        <f t="shared" si="2"/>
        <v>13</v>
      </c>
      <c r="C47" s="126">
        <v>45</v>
      </c>
      <c r="D47" s="126">
        <v>46</v>
      </c>
      <c r="E47" s="126">
        <v>47</v>
      </c>
      <c r="F47" s="126">
        <v>48</v>
      </c>
      <c r="G47" s="126">
        <v>49</v>
      </c>
      <c r="H47" s="126">
        <v>50</v>
      </c>
      <c r="I47" s="126">
        <v>51</v>
      </c>
      <c r="J47" s="126">
        <v>52</v>
      </c>
      <c r="K47" s="126">
        <v>53</v>
      </c>
      <c r="L47" s="126">
        <v>54</v>
      </c>
      <c r="M47" s="126">
        <v>55</v>
      </c>
      <c r="N47" s="126">
        <v>56</v>
      </c>
      <c r="O47" s="126">
        <v>57</v>
      </c>
      <c r="P47" s="127"/>
      <c r="Q47" s="127"/>
      <c r="R47" s="127"/>
      <c r="S47" s="127"/>
      <c r="T47" s="127"/>
      <c r="U47" s="127"/>
      <c r="V47" s="127"/>
      <c r="W47" s="127"/>
      <c r="X47" s="127"/>
      <c r="Y47" s="127"/>
      <c r="Z47" s="127"/>
      <c r="AA47" s="127"/>
      <c r="AB47" s="127"/>
      <c r="AC47" s="127"/>
      <c r="AD47" s="127"/>
      <c r="AE47" s="127"/>
      <c r="AF47" s="127"/>
      <c r="AG47" s="127"/>
      <c r="AH47" s="127"/>
      <c r="AI47" s="127"/>
      <c r="AJ47" s="127"/>
      <c r="AK47" s="127"/>
      <c r="AL47" s="127"/>
      <c r="AM47" s="127"/>
      <c r="AN47" s="127"/>
      <c r="AO47" s="127"/>
      <c r="AP47" s="127"/>
      <c r="AQ47" s="127"/>
      <c r="AR47" s="127"/>
      <c r="AS47" s="127"/>
      <c r="AT47" s="127"/>
      <c r="AU47" s="127"/>
      <c r="AV47" s="127"/>
      <c r="AW47" s="127"/>
      <c r="AX47" s="127"/>
      <c r="AY47" s="127"/>
      <c r="AZ47" s="127"/>
      <c r="BA47" s="127"/>
      <c r="BB47" s="127"/>
      <c r="BC47" s="127"/>
      <c r="BD47" s="127"/>
      <c r="BE47" s="127"/>
      <c r="BF47" s="127"/>
      <c r="BG47" s="127"/>
      <c r="BH47" s="126">
        <v>45</v>
      </c>
      <c r="BI47" s="126">
        <v>51</v>
      </c>
      <c r="BJ47" s="126">
        <v>57</v>
      </c>
      <c r="BK47" s="126" t="s">
        <v>80</v>
      </c>
      <c r="BL47" s="127"/>
      <c r="BM47" s="127"/>
      <c r="BN47" s="127"/>
      <c r="BO47" s="126">
        <f t="shared" si="4"/>
        <v>1</v>
      </c>
      <c r="BP47" s="126">
        <f t="shared" si="4"/>
        <v>0</v>
      </c>
      <c r="BQ47" s="126">
        <f t="shared" si="4"/>
        <v>0</v>
      </c>
      <c r="BR47" s="126">
        <f t="shared" si="4"/>
        <v>0</v>
      </c>
      <c r="BS47" s="127"/>
      <c r="BT47" s="10" t="s">
        <v>122</v>
      </c>
      <c r="BU47" s="10" t="s">
        <v>123</v>
      </c>
      <c r="BV47" s="10" t="s">
        <v>121</v>
      </c>
      <c r="BW47" s="10" t="s">
        <v>125</v>
      </c>
      <c r="BY47" s="10">
        <v>2</v>
      </c>
    </row>
    <row r="48" spans="1:77" x14ac:dyDescent="0.25">
      <c r="A48" s="131" t="s">
        <v>174</v>
      </c>
      <c r="B48" s="130">
        <f t="shared" si="2"/>
        <v>26</v>
      </c>
      <c r="C48" s="126">
        <v>1</v>
      </c>
      <c r="D48" s="126">
        <v>2</v>
      </c>
      <c r="E48" s="126">
        <v>3</v>
      </c>
      <c r="F48" s="126">
        <v>4</v>
      </c>
      <c r="G48" s="126">
        <v>5</v>
      </c>
      <c r="H48" s="126">
        <v>6</v>
      </c>
      <c r="I48" s="126">
        <v>7</v>
      </c>
      <c r="J48" s="126">
        <v>8</v>
      </c>
      <c r="K48" s="126">
        <v>9</v>
      </c>
      <c r="L48" s="126">
        <v>10</v>
      </c>
      <c r="M48" s="126">
        <v>11</v>
      </c>
      <c r="N48" s="126">
        <v>12</v>
      </c>
      <c r="O48" s="126">
        <v>13</v>
      </c>
      <c r="P48" s="126">
        <v>14</v>
      </c>
      <c r="Q48" s="126">
        <v>15</v>
      </c>
      <c r="R48" s="126">
        <v>16</v>
      </c>
      <c r="S48" s="126">
        <v>17</v>
      </c>
      <c r="T48" s="126">
        <v>18</v>
      </c>
      <c r="U48" s="126">
        <v>19</v>
      </c>
      <c r="V48" s="126">
        <v>20</v>
      </c>
      <c r="W48" s="126">
        <v>21</v>
      </c>
      <c r="X48" s="126">
        <v>22</v>
      </c>
      <c r="Y48" s="126">
        <v>23</v>
      </c>
      <c r="Z48" s="126">
        <v>24</v>
      </c>
      <c r="AA48" s="126">
        <v>25</v>
      </c>
      <c r="AB48" s="126">
        <v>26</v>
      </c>
      <c r="AC48" s="127"/>
      <c r="AD48" s="127"/>
      <c r="AE48" s="127"/>
      <c r="AF48" s="127"/>
      <c r="AG48" s="127"/>
      <c r="AH48" s="127"/>
      <c r="AI48" s="127"/>
      <c r="AJ48" s="127"/>
      <c r="AK48" s="127"/>
      <c r="AL48" s="127"/>
      <c r="AM48" s="127"/>
      <c r="AN48" s="127"/>
      <c r="AO48" s="127"/>
      <c r="AP48" s="127"/>
      <c r="AQ48" s="127"/>
      <c r="AR48" s="127"/>
      <c r="AS48" s="127"/>
      <c r="AT48" s="127"/>
      <c r="AU48" s="127"/>
      <c r="AV48" s="127"/>
      <c r="AW48" s="127"/>
      <c r="AX48" s="127"/>
      <c r="AY48" s="127"/>
      <c r="AZ48" s="127"/>
      <c r="BA48" s="127"/>
      <c r="BB48" s="127"/>
      <c r="BC48" s="127"/>
      <c r="BD48" s="127"/>
      <c r="BE48" s="127"/>
      <c r="BF48" s="127"/>
      <c r="BG48" s="127"/>
      <c r="BH48" s="126">
        <v>1</v>
      </c>
      <c r="BI48" s="126">
        <v>17</v>
      </c>
      <c r="BJ48" s="126">
        <v>26</v>
      </c>
      <c r="BK48" s="126" t="s">
        <v>80</v>
      </c>
      <c r="BL48" s="127"/>
      <c r="BM48" s="127"/>
      <c r="BN48" s="127"/>
      <c r="BO48" s="126">
        <f t="shared" si="4"/>
        <v>1</v>
      </c>
      <c r="BP48" s="126">
        <f t="shared" si="4"/>
        <v>0</v>
      </c>
      <c r="BQ48" s="126">
        <f t="shared" si="4"/>
        <v>0</v>
      </c>
      <c r="BR48" s="126">
        <f t="shared" si="4"/>
        <v>0</v>
      </c>
      <c r="BS48" s="127"/>
      <c r="BT48" s="132" t="s">
        <v>133</v>
      </c>
      <c r="BU48" s="132" t="s">
        <v>134</v>
      </c>
      <c r="BV48" s="10" t="s">
        <v>120</v>
      </c>
      <c r="BW48" s="10" t="s">
        <v>125</v>
      </c>
      <c r="BY48" s="10">
        <v>2</v>
      </c>
    </row>
    <row r="49" spans="1:77" x14ac:dyDescent="0.25">
      <c r="A49" s="129" t="s">
        <v>175</v>
      </c>
      <c r="B49" s="130">
        <f t="shared" si="2"/>
        <v>4</v>
      </c>
      <c r="C49" s="126">
        <v>3</v>
      </c>
      <c r="D49" s="126">
        <v>4</v>
      </c>
      <c r="E49" s="126">
        <v>5</v>
      </c>
      <c r="F49" s="126">
        <v>6</v>
      </c>
      <c r="G49" s="126"/>
      <c r="H49" s="127"/>
      <c r="I49" s="127"/>
      <c r="J49" s="127"/>
      <c r="K49" s="127"/>
      <c r="L49" s="127"/>
      <c r="M49" s="127"/>
      <c r="N49" s="127"/>
      <c r="O49" s="127"/>
      <c r="P49" s="127"/>
      <c r="Q49" s="127"/>
      <c r="R49" s="127"/>
      <c r="S49" s="127"/>
      <c r="T49" s="127"/>
      <c r="U49" s="127"/>
      <c r="V49" s="127"/>
      <c r="W49" s="127"/>
      <c r="X49" s="127"/>
      <c r="Y49" s="127"/>
      <c r="Z49" s="127"/>
      <c r="AA49" s="127"/>
      <c r="AB49" s="127"/>
      <c r="AC49" s="127"/>
      <c r="AD49" s="127"/>
      <c r="AE49" s="127"/>
      <c r="AF49" s="127"/>
      <c r="AG49" s="127"/>
      <c r="AH49" s="127"/>
      <c r="AI49" s="127"/>
      <c r="AJ49" s="127"/>
      <c r="AK49" s="127"/>
      <c r="AL49" s="127"/>
      <c r="AM49" s="127"/>
      <c r="AN49" s="127"/>
      <c r="AO49" s="127"/>
      <c r="AP49" s="127"/>
      <c r="AQ49" s="127"/>
      <c r="AR49" s="127"/>
      <c r="AS49" s="127"/>
      <c r="AT49" s="127"/>
      <c r="AU49" s="127"/>
      <c r="AV49" s="127"/>
      <c r="AW49" s="127"/>
      <c r="AX49" s="127"/>
      <c r="AY49" s="127"/>
      <c r="AZ49" s="127"/>
      <c r="BA49" s="127"/>
      <c r="BB49" s="127"/>
      <c r="BC49" s="127"/>
      <c r="BD49" s="127"/>
      <c r="BE49" s="127"/>
      <c r="BF49" s="127"/>
      <c r="BG49" s="127"/>
      <c r="BH49" s="126"/>
      <c r="BI49" s="126"/>
      <c r="BJ49" s="126"/>
      <c r="BK49" s="126" t="s">
        <v>82</v>
      </c>
      <c r="BL49" s="126" t="s">
        <v>83</v>
      </c>
      <c r="BM49" s="127"/>
      <c r="BN49" s="127"/>
      <c r="BO49" s="126">
        <f t="shared" si="4"/>
        <v>0</v>
      </c>
      <c r="BP49" s="126">
        <f t="shared" si="4"/>
        <v>0</v>
      </c>
      <c r="BQ49" s="126">
        <f t="shared" si="4"/>
        <v>1</v>
      </c>
      <c r="BR49" s="126">
        <f t="shared" si="4"/>
        <v>1</v>
      </c>
      <c r="BS49" s="127" t="s">
        <v>119</v>
      </c>
      <c r="BT49" s="10" t="s">
        <v>122</v>
      </c>
      <c r="BU49" s="10" t="s">
        <v>123</v>
      </c>
      <c r="BV49" s="10" t="s">
        <v>125</v>
      </c>
      <c r="BW49" s="10" t="s">
        <v>120</v>
      </c>
      <c r="BY49" s="10">
        <v>2</v>
      </c>
    </row>
  </sheetData>
  <sheetProtection selectLockedCells="1"/>
  <autoFilter ref="A1:BY49" xr:uid="{00000000-0001-0000-0400-000000000000}">
    <filterColumn colId="62" showButton="0"/>
    <filterColumn colId="63" showButton="0"/>
    <filterColumn colId="64" showButton="0"/>
    <sortState xmlns:xlrd2="http://schemas.microsoft.com/office/spreadsheetml/2017/richdata2" ref="A2:BY49">
      <sortCondition ref="BY2:BY49"/>
      <sortCondition ref="A2:A49"/>
    </sortState>
  </autoFilter>
  <mergeCells count="1">
    <mergeCell ref="BK1:BN1"/>
  </mergeCells>
  <pageMargins left="0.7" right="0.7" top="0.75" bottom="0.75" header="0.3" footer="0.3"/>
  <pageSetup paperSize="9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>
    <tabColor theme="3"/>
  </sheetPr>
  <dimension ref="A2:AT286"/>
  <sheetViews>
    <sheetView showGridLines="0" zoomScale="70" zoomScaleNormal="70" workbookViewId="0">
      <pane ySplit="3" topLeftCell="A4" activePane="bottomLeft" state="frozenSplit"/>
      <selection activeCell="A9" sqref="A9"/>
      <selection pane="bottomLeft" activeCell="A9" sqref="A9"/>
    </sheetView>
  </sheetViews>
  <sheetFormatPr defaultColWidth="9.140625" defaultRowHeight="15" x14ac:dyDescent="0.25"/>
  <cols>
    <col min="1" max="1" width="11.85546875" style="1" customWidth="1"/>
    <col min="2" max="2" width="10.42578125" style="1" customWidth="1"/>
    <col min="3" max="3" width="14.85546875" style="1" customWidth="1"/>
    <col min="4" max="4" width="16.5703125" style="1" customWidth="1"/>
    <col min="5" max="5" width="20" style="1" customWidth="1"/>
    <col min="6" max="9" width="10.42578125" style="1" customWidth="1"/>
    <col min="10" max="10" width="16.85546875" style="1" customWidth="1"/>
    <col min="11" max="15" width="10.42578125" style="1" customWidth="1"/>
    <col min="16" max="16" width="47.85546875" style="1" customWidth="1"/>
    <col min="17" max="17" width="12.140625" style="1" bestFit="1" customWidth="1"/>
    <col min="18" max="18" width="6.28515625" style="1" customWidth="1"/>
    <col min="19" max="19" width="19.42578125" style="1" customWidth="1"/>
    <col min="20" max="20" width="11.7109375" style="1" customWidth="1"/>
    <col min="21" max="21" width="9.140625" style="1" customWidth="1"/>
    <col min="22" max="22" width="25" style="1" customWidth="1"/>
    <col min="23" max="23" width="9.140625" style="1" customWidth="1"/>
    <col min="24" max="24" width="13.42578125" style="1" bestFit="1" customWidth="1"/>
    <col min="25" max="25" width="9.140625" style="1" customWidth="1"/>
    <col min="26" max="26" width="15.42578125" style="1" customWidth="1"/>
    <col min="27" max="27" width="19" style="1" customWidth="1"/>
    <col min="28" max="28" width="9.140625" style="1" customWidth="1"/>
    <col min="29" max="29" width="25.42578125" style="1" bestFit="1" customWidth="1"/>
    <col min="30" max="30" width="14.140625" style="1" customWidth="1"/>
    <col min="31" max="31" width="9.42578125" style="1" bestFit="1" customWidth="1"/>
    <col min="32" max="32" width="9.5703125" style="1" bestFit="1" customWidth="1"/>
    <col min="33" max="35" width="11" style="1" bestFit="1" customWidth="1"/>
    <col min="36" max="36" width="26" style="1" customWidth="1"/>
    <col min="37" max="37" width="20.140625" style="1" customWidth="1"/>
    <col min="38" max="38" width="11" style="1" customWidth="1"/>
    <col min="39" max="39" width="9.140625" style="1" customWidth="1"/>
    <col min="40" max="40" width="9.140625" style="34" customWidth="1"/>
    <col min="41" max="43" width="9.140625" style="1" customWidth="1"/>
    <col min="44" max="44" width="12" style="1" customWidth="1"/>
    <col min="45" max="45" width="11.28515625" style="1" bestFit="1" customWidth="1"/>
    <col min="46" max="46" width="9.140625" style="1" customWidth="1"/>
    <col min="47" max="16384" width="9.140625" style="1"/>
  </cols>
  <sheetData>
    <row r="2" spans="1:46" ht="93.75" customHeight="1" x14ac:dyDescent="0.25">
      <c r="A2" s="287" t="s">
        <v>213</v>
      </c>
      <c r="B2" s="287"/>
      <c r="C2" s="3"/>
      <c r="D2" s="287" t="s">
        <v>220</v>
      </c>
      <c r="E2" s="287"/>
      <c r="F2" s="3"/>
      <c r="G2" s="3"/>
      <c r="H2" s="3"/>
      <c r="I2" s="3"/>
      <c r="J2" s="3"/>
      <c r="K2" s="3"/>
      <c r="L2" s="3" t="s">
        <v>176</v>
      </c>
      <c r="M2" s="3"/>
      <c r="N2" s="3"/>
      <c r="O2" s="3" t="s">
        <v>176</v>
      </c>
      <c r="P2" s="189" t="s">
        <v>177</v>
      </c>
      <c r="Q2" s="188"/>
      <c r="R2" s="3"/>
      <c r="S2" s="5" t="s">
        <v>178</v>
      </c>
      <c r="T2" s="3"/>
      <c r="U2" s="3"/>
      <c r="V2" s="194" t="s">
        <v>219</v>
      </c>
      <c r="W2" s="195" t="s">
        <v>217</v>
      </c>
      <c r="X2" s="3"/>
      <c r="Y2" s="3"/>
      <c r="Z2" s="3"/>
      <c r="AA2" s="3"/>
      <c r="AB2" s="3"/>
      <c r="AC2" s="194" t="s">
        <v>218</v>
      </c>
      <c r="AD2" s="195" t="s">
        <v>217</v>
      </c>
      <c r="AE2" s="3"/>
      <c r="AF2" s="3"/>
      <c r="AG2" s="3"/>
      <c r="AH2" s="3"/>
      <c r="AI2" s="3"/>
      <c r="AJ2" s="194" t="s">
        <v>216</v>
      </c>
      <c r="AK2" s="193" t="s">
        <v>217</v>
      </c>
      <c r="AL2" s="3"/>
      <c r="AM2" s="3"/>
      <c r="AO2" s="4"/>
      <c r="AP2" s="4"/>
      <c r="AQ2" s="4"/>
      <c r="AR2" s="4"/>
      <c r="AS2" s="4"/>
    </row>
    <row r="3" spans="1:46" ht="91.5" customHeight="1" x14ac:dyDescent="0.25">
      <c r="A3" s="2" t="s">
        <v>179</v>
      </c>
      <c r="B3" s="2" t="s">
        <v>9</v>
      </c>
      <c r="C3" s="5"/>
      <c r="D3" s="2" t="s">
        <v>179</v>
      </c>
      <c r="E3" s="2" t="s">
        <v>9</v>
      </c>
      <c r="F3" s="5"/>
      <c r="G3" s="2" t="s">
        <v>180</v>
      </c>
      <c r="H3" s="21" t="s">
        <v>9</v>
      </c>
      <c r="I3" s="6"/>
      <c r="J3" s="21" t="s">
        <v>181</v>
      </c>
      <c r="K3" s="21" t="s">
        <v>9</v>
      </c>
      <c r="L3" s="6"/>
      <c r="M3" s="2" t="s">
        <v>182</v>
      </c>
      <c r="N3" s="21" t="s">
        <v>9</v>
      </c>
      <c r="O3" s="6"/>
      <c r="P3" s="2" t="s">
        <v>183</v>
      </c>
      <c r="Q3" s="21" t="s">
        <v>9</v>
      </c>
      <c r="R3" s="6"/>
      <c r="S3" s="2" t="s">
        <v>184</v>
      </c>
      <c r="T3" s="2" t="s">
        <v>9</v>
      </c>
      <c r="U3" s="3"/>
      <c r="V3" s="2" t="s">
        <v>69</v>
      </c>
      <c r="W3" s="2" t="s">
        <v>185</v>
      </c>
      <c r="X3" s="2" t="s">
        <v>9</v>
      </c>
      <c r="Y3" s="2" t="s">
        <v>186</v>
      </c>
      <c r="Z3" s="2" t="s">
        <v>187</v>
      </c>
      <c r="AA3" s="2" t="s">
        <v>188</v>
      </c>
      <c r="AB3" s="3"/>
      <c r="AC3" s="2" t="s">
        <v>72</v>
      </c>
      <c r="AD3" s="2" t="s">
        <v>185</v>
      </c>
      <c r="AE3" s="2" t="s">
        <v>9</v>
      </c>
      <c r="AF3" s="2" t="s">
        <v>186</v>
      </c>
      <c r="AG3" s="2" t="s">
        <v>187</v>
      </c>
      <c r="AH3" s="2" t="s">
        <v>188</v>
      </c>
      <c r="AI3" s="3"/>
      <c r="AJ3" s="2" t="s">
        <v>135</v>
      </c>
      <c r="AK3" s="2" t="s">
        <v>189</v>
      </c>
      <c r="AL3" s="2" t="s">
        <v>9</v>
      </c>
      <c r="AM3" s="3"/>
      <c r="AN3" s="35" t="s">
        <v>190</v>
      </c>
      <c r="AO3" s="7"/>
      <c r="AP3" s="7"/>
      <c r="AQ3" s="7"/>
      <c r="AR3" s="7"/>
      <c r="AS3" s="7"/>
      <c r="AT3" s="7"/>
    </row>
    <row r="4" spans="1:46" ht="18.75" customHeight="1" x14ac:dyDescent="0.2">
      <c r="A4" s="8">
        <v>1</v>
      </c>
      <c r="B4" s="88">
        <v>16110</v>
      </c>
      <c r="C4" s="11"/>
      <c r="D4" s="8">
        <v>1</v>
      </c>
      <c r="E4" s="88">
        <v>16690</v>
      </c>
      <c r="F4" s="120"/>
      <c r="G4" s="32">
        <v>1</v>
      </c>
      <c r="H4" s="33">
        <v>63668</v>
      </c>
      <c r="I4" s="27"/>
      <c r="J4" s="33">
        <v>1</v>
      </c>
      <c r="K4" s="33">
        <v>65578</v>
      </c>
      <c r="L4" s="11"/>
      <c r="M4" s="8">
        <v>1</v>
      </c>
      <c r="N4" s="33">
        <v>28808</v>
      </c>
      <c r="O4" s="11"/>
      <c r="P4" s="8">
        <v>1</v>
      </c>
      <c r="Q4" s="29">
        <v>34563</v>
      </c>
      <c r="R4" s="159"/>
      <c r="S4" s="158">
        <v>1</v>
      </c>
      <c r="T4" s="161">
        <v>84559</v>
      </c>
      <c r="U4" s="3"/>
      <c r="V4" s="8">
        <v>36</v>
      </c>
      <c r="W4" s="12">
        <v>0.05</v>
      </c>
      <c r="X4" s="9">
        <f>IF($W$2="Pre- pay award",SUMIF($A:$A,V4,$B:$B),SUMIF($D:$D,V4,$E:$E))</f>
        <v>40927</v>
      </c>
      <c r="Y4" s="8">
        <f t="shared" ref="Y4:Y16" si="0">ROUND(X4+(X4*W4),0)</f>
        <v>42973</v>
      </c>
      <c r="Z4" s="12">
        <v>0.15</v>
      </c>
      <c r="AA4" s="8">
        <f t="shared" ref="AA4:AA16" si="1">ROUND(X4*Z4,0)</f>
        <v>6139</v>
      </c>
      <c r="AB4" s="3"/>
      <c r="AC4" s="8">
        <v>45</v>
      </c>
      <c r="AD4" s="12">
        <v>0.1</v>
      </c>
      <c r="AE4" s="9">
        <f>IF($AD$2="Pre- pay award",SUMIF($A:$A,AC4,$B:$B),SUMIF($D:$D,AC4,$E:$E))</f>
        <v>53348</v>
      </c>
      <c r="AF4" s="8">
        <f t="shared" ref="AF4:AF16" si="2">ROUND(AE4+(AE4*AD4),0)</f>
        <v>58683</v>
      </c>
      <c r="AG4" s="12">
        <v>0.15</v>
      </c>
      <c r="AH4" s="8">
        <f t="shared" ref="AH4:AH16" si="3">ROUND(AE4*AG4,0)</f>
        <v>8002</v>
      </c>
      <c r="AI4" s="3"/>
      <c r="AJ4" s="8">
        <v>1</v>
      </c>
      <c r="AK4" s="8">
        <v>116</v>
      </c>
      <c r="AL4" s="8">
        <f>IF($AK$2="Pre- pay award",SUMIF($A:$A,AK4,$B:$B),SUMIF($D:$D,AK4,$E:$E))</f>
        <v>11683</v>
      </c>
      <c r="AM4" s="3"/>
      <c r="AN4" s="36" t="str">
        <f ca="1">IFERROR(MATCH(A4,OFFSET(Grades!$A$1,MATCH(Rates!$B$2,LIST,0),2,1,SUMIF(Grades!$A:$A,Rates!$B$2,Grades!$B:$B)),0),"-")</f>
        <v>-</v>
      </c>
    </row>
    <row r="5" spans="1:46" ht="18.75" customHeight="1" x14ac:dyDescent="0.2">
      <c r="A5" s="8">
        <v>2</v>
      </c>
      <c r="B5" s="196">
        <v>16420</v>
      </c>
      <c r="C5" s="11"/>
      <c r="D5" s="8">
        <v>2</v>
      </c>
      <c r="E5" s="88">
        <v>17011</v>
      </c>
      <c r="F5" s="121"/>
      <c r="G5" s="32">
        <v>2</v>
      </c>
      <c r="H5" s="33">
        <v>64938</v>
      </c>
      <c r="I5" s="27"/>
      <c r="J5" s="33">
        <v>2</v>
      </c>
      <c r="K5" s="33">
        <v>67545</v>
      </c>
      <c r="L5" s="11"/>
      <c r="M5" s="8">
        <v>2</v>
      </c>
      <c r="N5" s="33">
        <v>33345</v>
      </c>
      <c r="O5" s="11"/>
      <c r="P5" s="8">
        <v>2</v>
      </c>
      <c r="Q5" s="29">
        <v>36274</v>
      </c>
      <c r="R5" s="160"/>
      <c r="S5" s="158">
        <v>2</v>
      </c>
      <c r="T5" s="29">
        <v>87207</v>
      </c>
      <c r="U5" s="3"/>
      <c r="V5" s="8">
        <v>37</v>
      </c>
      <c r="W5" s="12">
        <v>0.05</v>
      </c>
      <c r="X5" s="9">
        <f t="shared" ref="X5:X16" si="4">IF($W$2="Pre- pay award",SUMIF($A:$A,V5,$B:$B),SUMIF($D:$D,V5,$E:$E))</f>
        <v>42149</v>
      </c>
      <c r="Y5" s="8">
        <f t="shared" si="0"/>
        <v>44256</v>
      </c>
      <c r="Z5" s="12">
        <v>0.15</v>
      </c>
      <c r="AA5" s="8">
        <f t="shared" si="1"/>
        <v>6322</v>
      </c>
      <c r="AB5" s="3"/>
      <c r="AC5" s="8">
        <v>46</v>
      </c>
      <c r="AD5" s="12">
        <v>0.1</v>
      </c>
      <c r="AE5" s="9">
        <f t="shared" ref="AE5:AE16" si="5">IF($AD$2="Pre- pay award",SUMIF($A:$A,AC5,$B:$B),SUMIF($D:$D,AC5,$E:$E))</f>
        <v>54943</v>
      </c>
      <c r="AF5" s="8">
        <f t="shared" si="2"/>
        <v>60437</v>
      </c>
      <c r="AG5" s="12">
        <v>0.15</v>
      </c>
      <c r="AH5" s="8">
        <f t="shared" si="3"/>
        <v>8241</v>
      </c>
      <c r="AI5" s="3"/>
      <c r="AJ5" s="8">
        <v>2</v>
      </c>
      <c r="AK5" s="8">
        <v>216</v>
      </c>
      <c r="AL5" s="8">
        <f t="shared" ref="AL5:AL14" si="6">IF($AK$2="Pre- pay award",SUMIF($A:$A,AK5,$B:$B),SUMIF($D:$D,AK5,$E:$E))</f>
        <v>11908</v>
      </c>
      <c r="AM5" s="3"/>
      <c r="AN5" s="36" t="str">
        <f ca="1">IFERROR(MATCH(A5,OFFSET(Grades!$A$1,MATCH(Rates!$B$2,LIST,0),2,1,SUMIF(Grades!$A:$A,Rates!$B$2,Grades!$B:$B)),0),"-")</f>
        <v>-</v>
      </c>
    </row>
    <row r="6" spans="1:46" ht="18.75" customHeight="1" x14ac:dyDescent="0.2">
      <c r="A6" s="8">
        <v>3</v>
      </c>
      <c r="B6" s="31">
        <v>16795</v>
      </c>
      <c r="C6" s="11"/>
      <c r="D6" s="8">
        <v>3</v>
      </c>
      <c r="E6" s="190">
        <v>17338</v>
      </c>
      <c r="F6" s="121"/>
      <c r="G6" s="32">
        <v>3</v>
      </c>
      <c r="H6" s="33">
        <v>66234</v>
      </c>
      <c r="I6" s="27"/>
      <c r="J6" s="33">
        <v>3</v>
      </c>
      <c r="K6" s="33">
        <v>69572</v>
      </c>
      <c r="L6" s="11"/>
      <c r="M6" s="8">
        <v>3</v>
      </c>
      <c r="N6" s="33">
        <v>39467</v>
      </c>
      <c r="O6" s="11"/>
      <c r="P6" s="8">
        <v>3</v>
      </c>
      <c r="Q6" s="29">
        <v>37986</v>
      </c>
      <c r="R6" s="160"/>
      <c r="S6" s="158">
        <v>3</v>
      </c>
      <c r="T6" s="29">
        <v>89855</v>
      </c>
      <c r="U6" s="3"/>
      <c r="V6" s="8">
        <v>38</v>
      </c>
      <c r="W6" s="12">
        <v>0.05</v>
      </c>
      <c r="X6" s="9">
        <f t="shared" si="4"/>
        <v>43434</v>
      </c>
      <c r="Y6" s="8">
        <f t="shared" si="0"/>
        <v>45606</v>
      </c>
      <c r="Z6" s="12">
        <v>0.15</v>
      </c>
      <c r="AA6" s="8">
        <f t="shared" si="1"/>
        <v>6515</v>
      </c>
      <c r="AB6" s="3"/>
      <c r="AC6" s="8">
        <v>47</v>
      </c>
      <c r="AD6" s="12">
        <v>0.1</v>
      </c>
      <c r="AE6" s="9">
        <f t="shared" si="5"/>
        <v>56587</v>
      </c>
      <c r="AF6" s="8">
        <f t="shared" si="2"/>
        <v>62246</v>
      </c>
      <c r="AG6" s="12">
        <v>0.15</v>
      </c>
      <c r="AH6" s="8">
        <f t="shared" si="3"/>
        <v>8488</v>
      </c>
      <c r="AI6" s="3"/>
      <c r="AJ6" s="8">
        <v>3</v>
      </c>
      <c r="AK6" s="8">
        <v>316</v>
      </c>
      <c r="AL6" s="8">
        <f t="shared" si="6"/>
        <v>12137</v>
      </c>
      <c r="AM6" s="3"/>
      <c r="AN6" s="36" t="str">
        <f ca="1">IFERROR(MATCH(A6,OFFSET(Grades!$A$1,MATCH(Rates!$B$2,LIST,0),2,1,SUMIF(Grades!$A:$A,Rates!$B$2,Grades!$B:$B)),0),"-")</f>
        <v>-</v>
      </c>
    </row>
    <row r="7" spans="1:46" ht="18.75" customHeight="1" x14ac:dyDescent="0.2">
      <c r="A7" s="8">
        <v>4</v>
      </c>
      <c r="B7" s="31">
        <v>17046</v>
      </c>
      <c r="C7" s="11"/>
      <c r="D7" s="8">
        <v>4</v>
      </c>
      <c r="E7" s="190">
        <v>17596</v>
      </c>
      <c r="F7" s="121"/>
      <c r="G7" s="32">
        <v>4</v>
      </c>
      <c r="H7" s="33">
        <v>67555</v>
      </c>
      <c r="I7" s="27"/>
      <c r="J7" s="33">
        <v>4</v>
      </c>
      <c r="K7" s="33">
        <v>71659</v>
      </c>
      <c r="L7" s="11"/>
      <c r="M7" s="8">
        <v>4</v>
      </c>
      <c r="N7" s="33">
        <v>50017</v>
      </c>
      <c r="O7" s="11"/>
      <c r="P7" s="8">
        <v>4</v>
      </c>
      <c r="Q7" s="29">
        <v>39698</v>
      </c>
      <c r="R7" s="160"/>
      <c r="S7" s="158">
        <v>4</v>
      </c>
      <c r="T7" s="29">
        <v>92503</v>
      </c>
      <c r="U7" s="3"/>
      <c r="V7" s="8">
        <v>39</v>
      </c>
      <c r="W7" s="12">
        <v>0.05</v>
      </c>
      <c r="X7" s="9">
        <f t="shared" si="4"/>
        <v>44706</v>
      </c>
      <c r="Y7" s="8">
        <f t="shared" si="0"/>
        <v>46941</v>
      </c>
      <c r="Z7" s="12">
        <v>0.15</v>
      </c>
      <c r="AA7" s="8">
        <f t="shared" si="1"/>
        <v>6706</v>
      </c>
      <c r="AB7" s="3"/>
      <c r="AC7" s="8">
        <v>48</v>
      </c>
      <c r="AD7" s="12">
        <v>0.1</v>
      </c>
      <c r="AE7" s="9">
        <f t="shared" si="5"/>
        <v>58279</v>
      </c>
      <c r="AF7" s="8">
        <f t="shared" si="2"/>
        <v>64107</v>
      </c>
      <c r="AG7" s="12">
        <v>0.15</v>
      </c>
      <c r="AH7" s="8">
        <f t="shared" si="3"/>
        <v>8742</v>
      </c>
      <c r="AI7" s="3"/>
      <c r="AJ7" s="8">
        <v>4</v>
      </c>
      <c r="AK7" s="8">
        <v>117</v>
      </c>
      <c r="AL7" s="8">
        <f t="shared" si="6"/>
        <v>14187</v>
      </c>
      <c r="AM7" s="3"/>
      <c r="AN7" s="36" t="str">
        <f ca="1">IFERROR(MATCH(A7,OFFSET(Grades!$A$1,MATCH(Rates!$B$2,LIST,0),2,1,SUMIF(Grades!$A:$A,Rates!$B$2,Grades!$B:$B)),0),"-")</f>
        <v>-</v>
      </c>
    </row>
    <row r="8" spans="1:46" ht="18.75" customHeight="1" x14ac:dyDescent="0.2">
      <c r="A8" s="8">
        <v>5</v>
      </c>
      <c r="B8" s="31">
        <v>17361</v>
      </c>
      <c r="C8" s="11"/>
      <c r="D8" s="8">
        <v>5</v>
      </c>
      <c r="E8" s="190">
        <v>17901</v>
      </c>
      <c r="F8" s="121"/>
      <c r="G8" s="32">
        <v>5</v>
      </c>
      <c r="H8" s="33">
        <v>68904</v>
      </c>
      <c r="I8" s="27"/>
      <c r="J8" s="33">
        <v>5</v>
      </c>
      <c r="K8" s="33">
        <v>73809</v>
      </c>
      <c r="L8" s="11"/>
      <c r="M8" s="8">
        <v>5</v>
      </c>
      <c r="N8" s="33">
        <v>56077</v>
      </c>
      <c r="O8" s="11"/>
      <c r="P8" s="8">
        <v>5</v>
      </c>
      <c r="Q8" s="29">
        <v>41763</v>
      </c>
      <c r="R8" s="160"/>
      <c r="S8" s="158">
        <v>5</v>
      </c>
      <c r="T8" s="29">
        <v>95144</v>
      </c>
      <c r="U8" s="3"/>
      <c r="V8" s="8">
        <v>40</v>
      </c>
      <c r="W8" s="12">
        <v>0.05</v>
      </c>
      <c r="X8" s="9">
        <f t="shared" si="4"/>
        <v>46042</v>
      </c>
      <c r="Y8" s="8">
        <f t="shared" si="0"/>
        <v>48344</v>
      </c>
      <c r="Z8" s="12">
        <v>0.15</v>
      </c>
      <c r="AA8" s="8">
        <f t="shared" si="1"/>
        <v>6906</v>
      </c>
      <c r="AB8" s="3"/>
      <c r="AC8" s="8">
        <v>49</v>
      </c>
      <c r="AD8" s="12">
        <v>0.1</v>
      </c>
      <c r="AE8" s="9">
        <f t="shared" si="5"/>
        <v>60022</v>
      </c>
      <c r="AF8" s="8">
        <f t="shared" si="2"/>
        <v>66024</v>
      </c>
      <c r="AG8" s="12">
        <v>0.15</v>
      </c>
      <c r="AH8" s="8">
        <f t="shared" si="3"/>
        <v>9003</v>
      </c>
      <c r="AI8" s="3"/>
      <c r="AJ8" s="8">
        <v>5</v>
      </c>
      <c r="AK8" s="8">
        <v>217</v>
      </c>
      <c r="AL8" s="8">
        <f t="shared" si="6"/>
        <v>14459</v>
      </c>
      <c r="AM8" s="3"/>
      <c r="AN8" s="36" t="str">
        <f ca="1">IFERROR(MATCH(A8,OFFSET(Grades!$A$1,MATCH(Rates!$B$2,LIST,0),2,1,SUMIF(Grades!$A:$A,Rates!$B$2,Grades!$B:$B)),0),"-")</f>
        <v>-</v>
      </c>
    </row>
    <row r="9" spans="1:46" ht="18.75" customHeight="1" x14ac:dyDescent="0.2">
      <c r="A9" s="8">
        <v>6</v>
      </c>
      <c r="B9" s="31">
        <v>17682</v>
      </c>
      <c r="C9" s="11"/>
      <c r="D9" s="8">
        <v>6</v>
      </c>
      <c r="E9" s="190">
        <v>18212</v>
      </c>
      <c r="F9" s="121"/>
      <c r="G9" s="32">
        <v>6</v>
      </c>
      <c r="H9" s="33">
        <v>70279</v>
      </c>
      <c r="I9" s="27"/>
      <c r="J9" s="33">
        <v>6</v>
      </c>
      <c r="K9" s="33">
        <v>76023</v>
      </c>
      <c r="L9" s="11"/>
      <c r="M9" s="27"/>
      <c r="N9" s="27"/>
      <c r="O9" s="11"/>
      <c r="P9" s="8">
        <v>6</v>
      </c>
      <c r="Q9" s="29">
        <v>43828</v>
      </c>
      <c r="R9" s="160"/>
      <c r="S9" s="158">
        <v>6</v>
      </c>
      <c r="T9" s="29">
        <v>101432</v>
      </c>
      <c r="U9" s="3"/>
      <c r="V9" s="8">
        <v>41</v>
      </c>
      <c r="W9" s="12">
        <v>0.05</v>
      </c>
      <c r="X9" s="9">
        <f t="shared" si="4"/>
        <v>47419</v>
      </c>
      <c r="Y9" s="8">
        <f t="shared" si="0"/>
        <v>49790</v>
      </c>
      <c r="Z9" s="12">
        <v>0.15</v>
      </c>
      <c r="AA9" s="8">
        <f t="shared" si="1"/>
        <v>7113</v>
      </c>
      <c r="AB9" s="3"/>
      <c r="AC9" s="8">
        <v>50</v>
      </c>
      <c r="AD9" s="12">
        <v>0.1</v>
      </c>
      <c r="AE9" s="9">
        <f t="shared" si="5"/>
        <v>61818</v>
      </c>
      <c r="AF9" s="8">
        <f t="shared" si="2"/>
        <v>68000</v>
      </c>
      <c r="AG9" s="12">
        <v>0.15</v>
      </c>
      <c r="AH9" s="8">
        <f t="shared" si="3"/>
        <v>9273</v>
      </c>
      <c r="AI9" s="3"/>
      <c r="AJ9" s="8">
        <v>6</v>
      </c>
      <c r="AK9" s="8">
        <v>317</v>
      </c>
      <c r="AL9" s="8">
        <f t="shared" si="6"/>
        <v>14737</v>
      </c>
      <c r="AM9" s="3"/>
      <c r="AN9" s="36" t="str">
        <f ca="1">IFERROR(MATCH(A9,OFFSET(Grades!$A$1,MATCH(Rates!$B$2,LIST,0),2,1,SUMIF(Grades!$A:$A,Rates!$B$2,Grades!$B:$B)),0),"-")</f>
        <v>-</v>
      </c>
    </row>
    <row r="10" spans="1:46" ht="18.75" customHeight="1" x14ac:dyDescent="0.2">
      <c r="A10" s="8">
        <v>7</v>
      </c>
      <c r="B10" s="31">
        <v>18009</v>
      </c>
      <c r="C10" s="11"/>
      <c r="D10" s="8">
        <v>7</v>
      </c>
      <c r="E10" s="190">
        <v>18529</v>
      </c>
      <c r="F10" s="121"/>
      <c r="G10" s="32">
        <v>7</v>
      </c>
      <c r="H10" s="33">
        <v>71680</v>
      </c>
      <c r="I10" s="27"/>
      <c r="J10" s="33">
        <v>7</v>
      </c>
      <c r="K10" s="33">
        <v>78304</v>
      </c>
      <c r="L10" s="11"/>
      <c r="M10" s="27"/>
      <c r="N10" s="27"/>
      <c r="O10" s="11"/>
      <c r="P10" s="8">
        <v>7</v>
      </c>
      <c r="Q10" s="29">
        <v>45894</v>
      </c>
      <c r="R10" s="160"/>
      <c r="S10" s="158">
        <v>7</v>
      </c>
      <c r="T10" s="29">
        <v>107721</v>
      </c>
      <c r="U10" s="3"/>
      <c r="V10" s="8">
        <v>42</v>
      </c>
      <c r="W10" s="12">
        <v>0.05</v>
      </c>
      <c r="X10" s="9">
        <f t="shared" si="4"/>
        <v>48835</v>
      </c>
      <c r="Y10" s="8">
        <f t="shared" si="0"/>
        <v>51277</v>
      </c>
      <c r="Z10" s="12">
        <v>0.15</v>
      </c>
      <c r="AA10" s="8">
        <f t="shared" si="1"/>
        <v>7325</v>
      </c>
      <c r="AB10" s="3"/>
      <c r="AC10" s="8">
        <v>51</v>
      </c>
      <c r="AD10" s="12">
        <v>0.15</v>
      </c>
      <c r="AE10" s="9">
        <f t="shared" si="5"/>
        <v>63668</v>
      </c>
      <c r="AF10" s="8">
        <f t="shared" si="2"/>
        <v>73218</v>
      </c>
      <c r="AG10" s="12">
        <v>0.2</v>
      </c>
      <c r="AH10" s="8">
        <f t="shared" si="3"/>
        <v>12734</v>
      </c>
      <c r="AI10" s="3"/>
      <c r="AJ10" s="8">
        <v>7</v>
      </c>
      <c r="AK10" s="8">
        <v>2</v>
      </c>
      <c r="AL10" s="8">
        <f t="shared" si="6"/>
        <v>17011</v>
      </c>
      <c r="AM10" s="3"/>
      <c r="AN10" s="36" t="str">
        <f ca="1">IFERROR(MATCH(A10,OFFSET(Grades!$A$1,MATCH(Rates!$B$2,LIST,0),2,1,SUMIF(Grades!$A:$A,Rates!$B$2,Grades!$B:$B)),0),"-")</f>
        <v>-</v>
      </c>
    </row>
    <row r="11" spans="1:46" ht="18.75" customHeight="1" x14ac:dyDescent="0.2">
      <c r="A11" s="8">
        <v>8</v>
      </c>
      <c r="B11" s="31">
        <v>18342</v>
      </c>
      <c r="C11" s="11"/>
      <c r="D11" s="8">
        <v>8</v>
      </c>
      <c r="E11" s="190">
        <v>18852</v>
      </c>
      <c r="F11" s="121"/>
      <c r="G11" s="32">
        <v>8</v>
      </c>
      <c r="H11" s="33">
        <v>73110</v>
      </c>
      <c r="I11" s="27"/>
      <c r="J11" s="33">
        <v>8</v>
      </c>
      <c r="K11" s="33">
        <v>80653</v>
      </c>
      <c r="L11" s="11"/>
      <c r="M11" s="27"/>
      <c r="N11" s="27"/>
      <c r="O11" s="11"/>
      <c r="P11" s="8">
        <v>8</v>
      </c>
      <c r="Q11" s="29">
        <v>47959</v>
      </c>
      <c r="R11" s="160"/>
      <c r="S11" s="158">
        <v>8</v>
      </c>
      <c r="T11" s="29">
        <v>114003</v>
      </c>
      <c r="U11" s="3"/>
      <c r="V11" s="8">
        <v>43</v>
      </c>
      <c r="W11" s="12">
        <v>0.1</v>
      </c>
      <c r="X11" s="9">
        <f t="shared" si="4"/>
        <v>50296</v>
      </c>
      <c r="Y11" s="8">
        <f t="shared" si="0"/>
        <v>55326</v>
      </c>
      <c r="Z11" s="12">
        <v>0.15</v>
      </c>
      <c r="AA11" s="8">
        <f t="shared" si="1"/>
        <v>7544</v>
      </c>
      <c r="AB11" s="3"/>
      <c r="AC11" s="8">
        <v>52</v>
      </c>
      <c r="AD11" s="12">
        <v>0.15</v>
      </c>
      <c r="AE11" s="9">
        <f t="shared" si="5"/>
        <v>65554</v>
      </c>
      <c r="AF11" s="8">
        <f t="shared" si="2"/>
        <v>75387</v>
      </c>
      <c r="AG11" s="12">
        <v>0.2</v>
      </c>
      <c r="AH11" s="8">
        <f t="shared" si="3"/>
        <v>13111</v>
      </c>
      <c r="AI11" s="3"/>
      <c r="AJ11" s="8">
        <v>8</v>
      </c>
      <c r="AK11" s="8">
        <v>3</v>
      </c>
      <c r="AL11" s="8">
        <f t="shared" si="6"/>
        <v>17338</v>
      </c>
      <c r="AM11" s="3"/>
      <c r="AN11" s="36" t="str">
        <f ca="1">IFERROR(MATCH(A11,OFFSET(Grades!$A$1,MATCH(Rates!$B$2,LIST,0),2,1,SUMIF(Grades!$A:$A,Rates!$B$2,Grades!$B:$B)),0),"-")</f>
        <v>-</v>
      </c>
    </row>
    <row r="12" spans="1:46" ht="18.75" customHeight="1" x14ac:dyDescent="0.2">
      <c r="A12" s="8">
        <v>9</v>
      </c>
      <c r="B12" s="31">
        <v>18709</v>
      </c>
      <c r="C12" s="11"/>
      <c r="D12" s="8">
        <v>9</v>
      </c>
      <c r="E12" s="190">
        <v>19209</v>
      </c>
      <c r="F12" s="121"/>
      <c r="G12" s="32">
        <v>9</v>
      </c>
      <c r="H12" s="33">
        <v>74569</v>
      </c>
      <c r="I12" s="27"/>
      <c r="J12" s="33">
        <v>9</v>
      </c>
      <c r="K12" s="33">
        <v>83072</v>
      </c>
      <c r="L12" s="11"/>
      <c r="M12" s="27"/>
      <c r="N12" s="27"/>
      <c r="O12" s="11"/>
      <c r="P12" s="8">
        <v>9</v>
      </c>
      <c r="Q12" s="29">
        <v>50025</v>
      </c>
      <c r="R12" s="3"/>
      <c r="S12" s="3"/>
      <c r="T12" s="3"/>
      <c r="U12" s="3"/>
      <c r="V12" s="8">
        <v>44</v>
      </c>
      <c r="W12" s="12">
        <v>0.1</v>
      </c>
      <c r="X12" s="9">
        <f t="shared" si="4"/>
        <v>51799</v>
      </c>
      <c r="Y12" s="8">
        <f t="shared" si="0"/>
        <v>56979</v>
      </c>
      <c r="Z12" s="12">
        <v>0.15</v>
      </c>
      <c r="AA12" s="8">
        <f t="shared" si="1"/>
        <v>7770</v>
      </c>
      <c r="AB12" s="3"/>
      <c r="AC12" s="8">
        <v>53</v>
      </c>
      <c r="AD12" s="12">
        <v>0.15</v>
      </c>
      <c r="AE12" s="9">
        <f t="shared" si="5"/>
        <v>67516</v>
      </c>
      <c r="AF12" s="8">
        <f t="shared" si="2"/>
        <v>77643</v>
      </c>
      <c r="AG12" s="12">
        <v>0.2</v>
      </c>
      <c r="AH12" s="8">
        <f t="shared" si="3"/>
        <v>13503</v>
      </c>
      <c r="AI12" s="3"/>
      <c r="AJ12" s="8">
        <v>9</v>
      </c>
      <c r="AK12" s="8">
        <v>7</v>
      </c>
      <c r="AL12" s="8">
        <f t="shared" si="6"/>
        <v>18529</v>
      </c>
      <c r="AM12" s="3"/>
      <c r="AN12" s="36" t="str">
        <f ca="1">IFERROR(MATCH(A12,OFFSET(Grades!$A$1,MATCH(Rates!$B$2,LIST,0),2,1,SUMIF(Grades!$A:$A,Rates!$B$2,Grades!$B:$B)),0),"-")</f>
        <v>-</v>
      </c>
    </row>
    <row r="13" spans="1:46" ht="18.75" customHeight="1" x14ac:dyDescent="0.2">
      <c r="A13" s="8">
        <v>10</v>
      </c>
      <c r="B13" s="31">
        <v>19133</v>
      </c>
      <c r="C13" s="11"/>
      <c r="D13" s="8">
        <v>10</v>
      </c>
      <c r="E13" s="190">
        <v>19623</v>
      </c>
      <c r="F13" s="121"/>
      <c r="G13" s="32">
        <v>10</v>
      </c>
      <c r="H13" s="33">
        <v>76056</v>
      </c>
      <c r="I13" s="27"/>
      <c r="J13" s="33">
        <v>10</v>
      </c>
      <c r="K13" s="33">
        <v>85564</v>
      </c>
      <c r="L13" s="11"/>
      <c r="M13" s="27"/>
      <c r="N13" s="27"/>
      <c r="O13" s="11"/>
      <c r="P13" s="8">
        <v>10</v>
      </c>
      <c r="Q13" s="29">
        <v>55395</v>
      </c>
      <c r="R13" s="3"/>
      <c r="S13" s="3"/>
      <c r="T13" s="3"/>
      <c r="U13" s="3"/>
      <c r="V13" s="8">
        <v>45</v>
      </c>
      <c r="W13" s="12">
        <v>0.1</v>
      </c>
      <c r="X13" s="9">
        <f t="shared" si="4"/>
        <v>53348</v>
      </c>
      <c r="Y13" s="8">
        <f t="shared" si="0"/>
        <v>58683</v>
      </c>
      <c r="Z13" s="12">
        <v>0.15</v>
      </c>
      <c r="AA13" s="8">
        <f t="shared" si="1"/>
        <v>8002</v>
      </c>
      <c r="AB13" s="3"/>
      <c r="AC13" s="8">
        <v>54</v>
      </c>
      <c r="AD13" s="12">
        <v>0.15</v>
      </c>
      <c r="AE13" s="9">
        <f t="shared" si="5"/>
        <v>69539</v>
      </c>
      <c r="AF13" s="8">
        <f t="shared" si="2"/>
        <v>79970</v>
      </c>
      <c r="AG13" s="12">
        <v>0.2</v>
      </c>
      <c r="AH13" s="8">
        <f t="shared" si="3"/>
        <v>13908</v>
      </c>
      <c r="AI13" s="3"/>
      <c r="AJ13" s="8">
        <v>10</v>
      </c>
      <c r="AK13" s="8">
        <v>8</v>
      </c>
      <c r="AL13" s="8">
        <f t="shared" si="6"/>
        <v>18852</v>
      </c>
      <c r="AM13" s="3"/>
      <c r="AN13" s="36" t="str">
        <f ca="1">IFERROR(MATCH(A13,OFFSET(Grades!$A$1,MATCH(Rates!$B$2,LIST,0),2,1,SUMIF(Grades!$A:$A,Rates!$B$2,Grades!$B:$B)),0),"-")</f>
        <v>-</v>
      </c>
    </row>
    <row r="14" spans="1:46" ht="18.75" customHeight="1" x14ac:dyDescent="0.2">
      <c r="A14" s="8">
        <v>11</v>
      </c>
      <c r="B14" s="31">
        <v>19612</v>
      </c>
      <c r="C14" s="11"/>
      <c r="D14" s="8">
        <v>11</v>
      </c>
      <c r="E14" s="190">
        <v>20092</v>
      </c>
      <c r="F14" s="121"/>
      <c r="G14" s="32">
        <v>11</v>
      </c>
      <c r="H14" s="33">
        <v>77572</v>
      </c>
      <c r="I14" s="27"/>
      <c r="J14" s="33">
        <v>11</v>
      </c>
      <c r="K14" s="33">
        <v>88131</v>
      </c>
      <c r="L14" s="11"/>
      <c r="M14" s="27"/>
      <c r="N14" s="27"/>
      <c r="O14" s="11"/>
      <c r="P14" s="8">
        <v>11</v>
      </c>
      <c r="Q14" s="29">
        <v>59845</v>
      </c>
      <c r="R14" s="3"/>
      <c r="S14" s="3"/>
      <c r="T14" s="3"/>
      <c r="U14" s="3"/>
      <c r="V14" s="8">
        <v>46</v>
      </c>
      <c r="W14" s="12">
        <v>0.1</v>
      </c>
      <c r="X14" s="9">
        <f t="shared" si="4"/>
        <v>54943</v>
      </c>
      <c r="Y14" s="8">
        <f t="shared" si="0"/>
        <v>60437</v>
      </c>
      <c r="Z14" s="12">
        <v>0.15</v>
      </c>
      <c r="AA14" s="8">
        <f t="shared" si="1"/>
        <v>8241</v>
      </c>
      <c r="AB14" s="3"/>
      <c r="AC14" s="8">
        <v>55</v>
      </c>
      <c r="AD14" s="12">
        <v>0.15</v>
      </c>
      <c r="AE14" s="9">
        <f t="shared" si="5"/>
        <v>71619</v>
      </c>
      <c r="AF14" s="8">
        <f t="shared" si="2"/>
        <v>82362</v>
      </c>
      <c r="AG14" s="12">
        <v>0.2</v>
      </c>
      <c r="AH14" s="8">
        <f t="shared" si="3"/>
        <v>14324</v>
      </c>
      <c r="AI14" s="3"/>
      <c r="AJ14" s="8">
        <v>11</v>
      </c>
      <c r="AK14" s="8">
        <v>9</v>
      </c>
      <c r="AL14" s="8">
        <f t="shared" si="6"/>
        <v>19209</v>
      </c>
      <c r="AM14" s="3"/>
      <c r="AN14" s="36" t="str">
        <f ca="1">IFERROR(MATCH(A14,OFFSET(Grades!$A$1,MATCH(Rates!$B$2,LIST,0),2,1,SUMIF(Grades!$A:$A,Rates!$B$2,Grades!$B:$B)),0),"-")</f>
        <v>-</v>
      </c>
    </row>
    <row r="15" spans="1:46" ht="18.75" customHeight="1" x14ac:dyDescent="0.2">
      <c r="A15" s="8">
        <v>12</v>
      </c>
      <c r="B15" s="31">
        <v>20130</v>
      </c>
      <c r="C15" s="11"/>
      <c r="D15" s="8">
        <v>12</v>
      </c>
      <c r="E15" s="190">
        <v>20600</v>
      </c>
      <c r="F15" s="121"/>
      <c r="G15" s="32">
        <v>12</v>
      </c>
      <c r="H15" s="33">
        <v>79122</v>
      </c>
      <c r="I15" s="27"/>
      <c r="J15" s="33">
        <v>12</v>
      </c>
      <c r="K15" s="33">
        <v>90775</v>
      </c>
      <c r="L15" s="11"/>
      <c r="M15" s="27"/>
      <c r="N15" s="27"/>
      <c r="O15" s="11"/>
      <c r="P15" s="162">
        <v>19</v>
      </c>
      <c r="Q15" s="163">
        <v>70208</v>
      </c>
      <c r="R15" s="5"/>
      <c r="S15" s="3"/>
      <c r="T15" s="3"/>
      <c r="U15" s="3"/>
      <c r="V15" s="8">
        <v>47</v>
      </c>
      <c r="W15" s="12">
        <v>0.1</v>
      </c>
      <c r="X15" s="9">
        <f t="shared" si="4"/>
        <v>56587</v>
      </c>
      <c r="Y15" s="8">
        <f t="shared" si="0"/>
        <v>62246</v>
      </c>
      <c r="Z15" s="12">
        <v>0.15</v>
      </c>
      <c r="AA15" s="8">
        <f t="shared" si="1"/>
        <v>8488</v>
      </c>
      <c r="AB15" s="3"/>
      <c r="AC15" s="8">
        <v>56</v>
      </c>
      <c r="AD15" s="12">
        <v>0.15</v>
      </c>
      <c r="AE15" s="9">
        <f t="shared" si="5"/>
        <v>73762</v>
      </c>
      <c r="AF15" s="8">
        <f t="shared" si="2"/>
        <v>84826</v>
      </c>
      <c r="AG15" s="12">
        <v>0.2</v>
      </c>
      <c r="AH15" s="8">
        <f t="shared" si="3"/>
        <v>14752</v>
      </c>
      <c r="AI15" s="3"/>
      <c r="AJ15" s="3"/>
      <c r="AK15" s="3"/>
      <c r="AL15" s="3"/>
      <c r="AM15" s="3"/>
      <c r="AN15" s="36" t="str">
        <f ca="1">IFERROR(MATCH(A15,OFFSET(Grades!$A$1,MATCH(Rates!$B$2,LIST,0),2,1,SUMIF(Grades!$A:$A,Rates!$B$2,Grades!$B:$B)),0),"-")</f>
        <v>-</v>
      </c>
    </row>
    <row r="16" spans="1:46" ht="18.75" customHeight="1" x14ac:dyDescent="0.2">
      <c r="A16" s="8">
        <v>13</v>
      </c>
      <c r="B16" s="31">
        <v>20675</v>
      </c>
      <c r="C16" s="11"/>
      <c r="D16" s="8">
        <v>13</v>
      </c>
      <c r="E16" s="190">
        <v>21135</v>
      </c>
      <c r="F16" s="121"/>
      <c r="G16" s="32">
        <v>13</v>
      </c>
      <c r="H16" s="33">
        <v>80700</v>
      </c>
      <c r="I16" s="27"/>
      <c r="J16" s="33">
        <v>13</v>
      </c>
      <c r="K16" s="33">
        <v>93499</v>
      </c>
      <c r="L16" s="11"/>
      <c r="M16" s="27"/>
      <c r="N16" s="27"/>
      <c r="O16" s="11"/>
      <c r="P16" s="162">
        <v>20</v>
      </c>
      <c r="Q16" s="163">
        <v>75231</v>
      </c>
      <c r="R16" s="5"/>
      <c r="S16" s="3"/>
      <c r="T16" s="3"/>
      <c r="U16" s="3"/>
      <c r="V16" s="8">
        <v>48</v>
      </c>
      <c r="W16" s="12">
        <v>0.1</v>
      </c>
      <c r="X16" s="9">
        <f t="shared" si="4"/>
        <v>58279</v>
      </c>
      <c r="Y16" s="8">
        <f t="shared" si="0"/>
        <v>64107</v>
      </c>
      <c r="Z16" s="12">
        <v>0.15</v>
      </c>
      <c r="AA16" s="8">
        <f t="shared" si="1"/>
        <v>8742</v>
      </c>
      <c r="AB16" s="3"/>
      <c r="AC16" s="8">
        <v>57</v>
      </c>
      <c r="AD16" s="12">
        <v>0.15</v>
      </c>
      <c r="AE16" s="9">
        <f t="shared" si="5"/>
        <v>75970</v>
      </c>
      <c r="AF16" s="8">
        <f t="shared" si="2"/>
        <v>87366</v>
      </c>
      <c r="AG16" s="12">
        <v>0.2</v>
      </c>
      <c r="AH16" s="8">
        <f t="shared" si="3"/>
        <v>15194</v>
      </c>
      <c r="AI16" s="3"/>
      <c r="AJ16" s="3"/>
      <c r="AK16" s="3"/>
      <c r="AL16" s="3"/>
      <c r="AM16" s="3"/>
      <c r="AN16" s="36" t="str">
        <f ca="1">IFERROR(MATCH(A16,OFFSET(Grades!$A$1,MATCH(Rates!$B$2,LIST,0),2,1,SUMIF(Grades!$A:$A,Rates!$B$2,Grades!$B:$B)),0),"-")</f>
        <v>-</v>
      </c>
    </row>
    <row r="17" spans="1:40" ht="18.75" customHeight="1" x14ac:dyDescent="0.2">
      <c r="A17" s="8">
        <v>14</v>
      </c>
      <c r="B17" s="31">
        <v>21236</v>
      </c>
      <c r="C17" s="11"/>
      <c r="D17" s="8">
        <v>14</v>
      </c>
      <c r="E17" s="190">
        <v>21686</v>
      </c>
      <c r="F17" s="121"/>
      <c r="G17" s="32">
        <v>14</v>
      </c>
      <c r="H17" s="33">
        <v>82312</v>
      </c>
      <c r="I17" s="27"/>
      <c r="J17" s="33">
        <v>14</v>
      </c>
      <c r="K17" s="33">
        <v>96304</v>
      </c>
      <c r="L17" s="11"/>
      <c r="M17" s="27"/>
      <c r="N17" s="27"/>
      <c r="O17" s="11"/>
      <c r="P17" s="162">
        <v>21</v>
      </c>
      <c r="Q17" s="163">
        <v>80256</v>
      </c>
      <c r="R17" s="5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6" t="str">
        <f ca="1">IFERROR(MATCH(A17,OFFSET(Grades!$A$1,MATCH(Rates!$B$2,LIST,0),2,1,SUMIF(Grades!$A:$A,Rates!$B$2,Grades!$B:$B)),0),"-")</f>
        <v>-</v>
      </c>
    </row>
    <row r="18" spans="1:40" ht="18.75" customHeight="1" x14ac:dyDescent="0.2">
      <c r="A18" s="8">
        <v>15</v>
      </c>
      <c r="B18" s="31">
        <v>21814</v>
      </c>
      <c r="C18" s="11"/>
      <c r="D18" s="8">
        <v>15</v>
      </c>
      <c r="E18" s="190">
        <v>22254</v>
      </c>
      <c r="F18" s="121"/>
      <c r="G18" s="32">
        <v>15</v>
      </c>
      <c r="H18" s="33">
        <v>83955</v>
      </c>
      <c r="I18" s="27"/>
      <c r="J18" s="33">
        <v>15</v>
      </c>
      <c r="K18" s="33">
        <v>99193</v>
      </c>
      <c r="L18" s="11"/>
      <c r="M18" s="27"/>
      <c r="N18" s="27"/>
      <c r="O18" s="11"/>
      <c r="P18" s="162">
        <v>22</v>
      </c>
      <c r="Q18" s="163">
        <v>85280</v>
      </c>
      <c r="R18" s="5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6" t="str">
        <f ca="1">IFERROR(MATCH(A18,OFFSET(Grades!$A$1,MATCH(Rates!$B$2,LIST,0),2,1,SUMIF(Grades!$A:$A,Rates!$B$2,Grades!$B:$B)),0),"-")</f>
        <v>-</v>
      </c>
    </row>
    <row r="19" spans="1:40" ht="18.75" customHeight="1" x14ac:dyDescent="0.2">
      <c r="A19" s="8">
        <v>16</v>
      </c>
      <c r="B19" s="31">
        <v>22417</v>
      </c>
      <c r="C19" s="11"/>
      <c r="D19" s="8">
        <v>16</v>
      </c>
      <c r="E19" s="190">
        <v>22847</v>
      </c>
      <c r="F19" s="121"/>
      <c r="G19" s="32">
        <v>16</v>
      </c>
      <c r="H19" s="33">
        <v>85630</v>
      </c>
      <c r="I19" s="27"/>
      <c r="J19" s="33">
        <v>16</v>
      </c>
      <c r="K19" s="33">
        <v>102168</v>
      </c>
      <c r="L19" s="11"/>
      <c r="M19" s="27"/>
      <c r="N19" s="27"/>
      <c r="O19" s="11"/>
      <c r="P19" s="162">
        <v>23</v>
      </c>
      <c r="Q19" s="163">
        <v>91009</v>
      </c>
      <c r="R19" s="5"/>
      <c r="S19" s="3"/>
      <c r="T19" s="3"/>
      <c r="U19" s="3"/>
      <c r="V19" s="3"/>
      <c r="W19" s="3"/>
      <c r="X19" s="11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6" t="str">
        <f ca="1">IFERROR(MATCH(A19,OFFSET(Grades!$A$1,MATCH(Rates!$B$2,LIST,0),2,1,SUMIF(Grades!$A:$A,Rates!$B$2,Grades!$B:$B)),0),"-")</f>
        <v>-</v>
      </c>
    </row>
    <row r="20" spans="1:40" ht="18.75" customHeight="1" x14ac:dyDescent="0.2">
      <c r="A20" s="8">
        <v>17</v>
      </c>
      <c r="B20" s="31">
        <v>23067</v>
      </c>
      <c r="C20" s="11"/>
      <c r="D20" s="8">
        <v>17</v>
      </c>
      <c r="E20" s="190">
        <v>23487</v>
      </c>
      <c r="F20" s="121"/>
      <c r="G20" s="32">
        <v>17</v>
      </c>
      <c r="H20" s="33">
        <v>87340</v>
      </c>
      <c r="I20" s="27"/>
      <c r="J20" s="33">
        <v>17</v>
      </c>
      <c r="K20" s="33">
        <v>105234</v>
      </c>
      <c r="L20" s="11"/>
      <c r="M20" s="27"/>
      <c r="N20" s="27"/>
      <c r="O20" s="11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6" t="str">
        <f ca="1">IFERROR(MATCH(A20,OFFSET(Grades!$A$1,MATCH(Rates!$B$2,LIST,0),2,1,SUMIF(Grades!$A:$A,Rates!$B$2,Grades!$B:$B)),0),"-")</f>
        <v>-</v>
      </c>
    </row>
    <row r="21" spans="1:40" ht="18.75" customHeight="1" x14ac:dyDescent="0.2">
      <c r="A21" s="8">
        <v>18</v>
      </c>
      <c r="B21" s="31">
        <v>23754</v>
      </c>
      <c r="C21" s="11"/>
      <c r="D21" s="8">
        <v>18</v>
      </c>
      <c r="E21" s="190">
        <v>24174</v>
      </c>
      <c r="F21" s="121"/>
      <c r="G21" s="32">
        <v>18</v>
      </c>
      <c r="H21" s="33">
        <v>89082</v>
      </c>
      <c r="I21" s="27"/>
      <c r="J21" s="33">
        <v>18</v>
      </c>
      <c r="K21" s="33">
        <v>108391</v>
      </c>
      <c r="L21" s="11"/>
      <c r="M21" s="27"/>
      <c r="N21" s="27"/>
      <c r="O21" s="11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6" t="str">
        <f ca="1">IFERROR(MATCH(A21,OFFSET(Grades!$A$1,MATCH(Rates!$B$2,LIST,0),2,1,SUMIF(Grades!$A:$A,Rates!$B$2,Grades!$B:$B)),0),"-")</f>
        <v>-</v>
      </c>
    </row>
    <row r="22" spans="1:40" ht="18.75" customHeight="1" x14ac:dyDescent="0.2">
      <c r="A22" s="8">
        <v>19</v>
      </c>
      <c r="B22" s="31">
        <v>24461</v>
      </c>
      <c r="C22" s="11"/>
      <c r="D22" s="8">
        <v>19</v>
      </c>
      <c r="E22" s="190">
        <v>24871</v>
      </c>
      <c r="F22" s="121"/>
      <c r="G22" s="32">
        <v>19</v>
      </c>
      <c r="H22" s="33">
        <v>90862</v>
      </c>
      <c r="I22" s="27"/>
      <c r="J22" s="33">
        <v>19</v>
      </c>
      <c r="K22" s="33">
        <v>111642</v>
      </c>
      <c r="L22" s="11"/>
      <c r="M22" s="27"/>
      <c r="N22" s="27"/>
      <c r="O22" s="11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6" t="str">
        <f ca="1">IFERROR(MATCH(A22,OFFSET(Grades!$A$1,MATCH(Rates!$B$2,LIST,0),2,1,SUMIF(Grades!$A:$A,Rates!$B$2,Grades!$B:$B)),0),"-")</f>
        <v>-</v>
      </c>
    </row>
    <row r="23" spans="1:40" ht="18.75" customHeight="1" x14ac:dyDescent="0.2">
      <c r="A23" s="8">
        <v>20</v>
      </c>
      <c r="B23" s="31">
        <v>25217</v>
      </c>
      <c r="C23" s="11"/>
      <c r="D23" s="8">
        <v>20</v>
      </c>
      <c r="E23" s="190">
        <v>25627</v>
      </c>
      <c r="F23" s="121"/>
      <c r="G23" s="32">
        <v>20</v>
      </c>
      <c r="H23" s="33">
        <v>92675</v>
      </c>
      <c r="I23" s="27"/>
      <c r="J23" s="33">
        <v>20</v>
      </c>
      <c r="K23" s="33">
        <v>114991</v>
      </c>
      <c r="L23" s="11"/>
      <c r="M23" s="27"/>
      <c r="N23" s="27"/>
      <c r="O23" s="11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6" t="str">
        <f ca="1">IFERROR(MATCH(A23,OFFSET(Grades!$A$1,MATCH(Rates!$B$2,LIST,0),2,1,SUMIF(Grades!$A:$A,Rates!$B$2,Grades!$B:$B)),0),"-")</f>
        <v>-</v>
      </c>
    </row>
    <row r="24" spans="1:40" ht="18.75" customHeight="1" x14ac:dyDescent="0.2">
      <c r="A24" s="8">
        <v>21</v>
      </c>
      <c r="B24" s="31">
        <v>25941</v>
      </c>
      <c r="C24" s="11"/>
      <c r="D24" s="8">
        <v>21</v>
      </c>
      <c r="E24" s="190">
        <v>26341</v>
      </c>
      <c r="F24" s="121"/>
      <c r="G24" s="32">
        <v>21</v>
      </c>
      <c r="H24" s="33">
        <v>94524</v>
      </c>
      <c r="I24" s="27"/>
      <c r="J24" s="33">
        <v>21</v>
      </c>
      <c r="K24" s="33">
        <v>118441</v>
      </c>
      <c r="L24" s="11"/>
      <c r="M24" s="27"/>
      <c r="N24" s="27"/>
      <c r="O24" s="11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6" t="str">
        <f ca="1">IFERROR(MATCH(A24,OFFSET(Grades!$A$1,MATCH(Rates!$B$2,LIST,0),2,1,SUMIF(Grades!$A:$A,Rates!$B$2,Grades!$B:$B)),0),"-")</f>
        <v>-</v>
      </c>
    </row>
    <row r="25" spans="1:40" ht="18.75" customHeight="1" x14ac:dyDescent="0.2">
      <c r="A25" s="8">
        <v>22</v>
      </c>
      <c r="B25" s="31">
        <v>26715</v>
      </c>
      <c r="C25" s="11"/>
      <c r="D25" s="8">
        <v>22</v>
      </c>
      <c r="E25" s="190">
        <v>27116</v>
      </c>
      <c r="F25" s="121"/>
      <c r="G25" s="32">
        <v>22</v>
      </c>
      <c r="H25" s="33">
        <v>96412</v>
      </c>
      <c r="I25" s="27"/>
      <c r="J25" s="33">
        <v>22</v>
      </c>
      <c r="K25" s="33" t="s">
        <v>176</v>
      </c>
      <c r="L25" s="11"/>
      <c r="M25" s="27"/>
      <c r="N25" s="27"/>
      <c r="O25" s="11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6" t="str">
        <f ca="1">IFERROR(MATCH(A25,OFFSET(Grades!$A$1,MATCH(Rates!$B$2,LIST,0),2,1,SUMIF(Grades!$A:$A,Rates!$B$2,Grades!$B:$B)),0),"-")</f>
        <v>-</v>
      </c>
    </row>
    <row r="26" spans="1:40" ht="18.75" customHeight="1" x14ac:dyDescent="0.25">
      <c r="A26" s="8">
        <v>23</v>
      </c>
      <c r="B26" s="86">
        <v>27511</v>
      </c>
      <c r="C26" s="11"/>
      <c r="D26" s="8">
        <v>23</v>
      </c>
      <c r="E26" s="191">
        <v>27924</v>
      </c>
      <c r="F26" s="122"/>
      <c r="G26" s="32">
        <v>23</v>
      </c>
      <c r="H26" s="33">
        <v>98336</v>
      </c>
      <c r="I26" s="27"/>
      <c r="J26" s="33">
        <v>23</v>
      </c>
      <c r="K26" s="33" t="s">
        <v>176</v>
      </c>
      <c r="L26" s="11"/>
      <c r="M26" s="27"/>
      <c r="N26" s="27"/>
      <c r="O26" s="11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6" t="str">
        <f ca="1">IFERROR(MATCH(A26,OFFSET(Grades!$A$1,MATCH(Rates!$B$2,LIST,0),2,1,SUMIF(Grades!$A:$A,Rates!$B$2,Grades!$B:$B)),0),"-")</f>
        <v>-</v>
      </c>
    </row>
    <row r="27" spans="1:40" ht="18.75" customHeight="1" x14ac:dyDescent="0.25">
      <c r="A27" s="8">
        <v>24</v>
      </c>
      <c r="B27" s="86">
        <v>28331</v>
      </c>
      <c r="C27" s="11"/>
      <c r="D27" s="8">
        <v>24</v>
      </c>
      <c r="E27" s="191">
        <v>28756</v>
      </c>
      <c r="F27" s="122"/>
      <c r="G27" s="32">
        <v>24</v>
      </c>
      <c r="H27" s="33">
        <v>100299</v>
      </c>
      <c r="I27" s="27"/>
      <c r="J27" s="33">
        <v>24</v>
      </c>
      <c r="K27" s="33" t="s">
        <v>176</v>
      </c>
      <c r="L27" s="11"/>
      <c r="M27" s="27"/>
      <c r="N27" s="27"/>
      <c r="O27" s="11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6" t="str">
        <f ca="1">IFERROR(MATCH(A27,OFFSET(Grades!$A$1,MATCH(Rates!$B$2,LIST,0),2,1,SUMIF(Grades!$A:$A,Rates!$B$2,Grades!$B:$B)),0),"-")</f>
        <v>-</v>
      </c>
    </row>
    <row r="28" spans="1:40" ht="18.75" customHeight="1" x14ac:dyDescent="0.25">
      <c r="A28" s="8">
        <v>25</v>
      </c>
      <c r="B28" s="86">
        <v>29176</v>
      </c>
      <c r="C28" s="11"/>
      <c r="D28" s="8">
        <v>25</v>
      </c>
      <c r="E28" s="191">
        <v>29614</v>
      </c>
      <c r="F28" s="122"/>
      <c r="G28" s="32">
        <v>25</v>
      </c>
      <c r="H28" s="33">
        <v>102301</v>
      </c>
      <c r="I28" s="27"/>
      <c r="J28" s="33">
        <v>25</v>
      </c>
      <c r="K28" s="33" t="s">
        <v>176</v>
      </c>
      <c r="L28" s="11"/>
      <c r="M28" s="27"/>
      <c r="N28" s="27"/>
      <c r="O28" s="11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6" t="str">
        <f ca="1">IFERROR(MATCH(A28,OFFSET(Grades!$A$1,MATCH(Rates!$B$2,LIST,0),2,1,SUMIF(Grades!$A:$A,Rates!$B$2,Grades!$B:$B)),0),"-")</f>
        <v>-</v>
      </c>
    </row>
    <row r="29" spans="1:40" ht="18.75" customHeight="1" x14ac:dyDescent="0.25">
      <c r="A29" s="8">
        <v>26</v>
      </c>
      <c r="B29" s="87">
        <v>30046</v>
      </c>
      <c r="C29" s="11"/>
      <c r="D29" s="8">
        <v>26</v>
      </c>
      <c r="E29" s="192">
        <v>30497</v>
      </c>
      <c r="F29" s="122"/>
      <c r="G29" s="32">
        <v>26</v>
      </c>
      <c r="H29" s="33">
        <v>104342</v>
      </c>
      <c r="I29" s="27"/>
      <c r="J29" s="33">
        <v>26</v>
      </c>
      <c r="K29" s="33" t="s">
        <v>176</v>
      </c>
      <c r="L29" s="11"/>
      <c r="M29" s="27"/>
      <c r="N29" s="27"/>
      <c r="O29" s="11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6" t="str">
        <f ca="1">IFERROR(MATCH(A29,OFFSET(Grades!$A$1,MATCH(Rates!$B$2,LIST,0),2,1,SUMIF(Grades!$A:$A,Rates!$B$2,Grades!$B:$B)),0),"-")</f>
        <v>-</v>
      </c>
    </row>
    <row r="30" spans="1:40" ht="18.75" customHeight="1" x14ac:dyDescent="0.2">
      <c r="A30" s="8">
        <v>27</v>
      </c>
      <c r="B30" s="31">
        <v>30942</v>
      </c>
      <c r="C30" s="11"/>
      <c r="D30" s="8">
        <v>27</v>
      </c>
      <c r="E30" s="31">
        <v>31406</v>
      </c>
      <c r="F30" s="121"/>
      <c r="G30" s="3"/>
      <c r="H30" s="3"/>
      <c r="I30" s="3"/>
      <c r="J30" s="33">
        <v>27</v>
      </c>
      <c r="K30" s="33" t="s">
        <v>176</v>
      </c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6" t="str">
        <f ca="1">IFERROR(MATCH(A30,OFFSET(Grades!$A$1,MATCH(Rates!$B$2,LIST,0),2,1,SUMIF(Grades!$A:$A,Rates!$B$2,Grades!$B:$B)),0),"-")</f>
        <v>-</v>
      </c>
    </row>
    <row r="31" spans="1:40" ht="18.75" customHeight="1" x14ac:dyDescent="0.2">
      <c r="A31" s="8">
        <v>28</v>
      </c>
      <c r="B31" s="31">
        <v>31866</v>
      </c>
      <c r="C31" s="11"/>
      <c r="D31" s="8">
        <v>28</v>
      </c>
      <c r="E31" s="31">
        <v>32344</v>
      </c>
      <c r="F31" s="121"/>
      <c r="G31" s="3"/>
      <c r="H31" s="3"/>
      <c r="I31" s="3"/>
      <c r="J31" s="33">
        <v>28</v>
      </c>
      <c r="K31" s="33" t="s">
        <v>176</v>
      </c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6" t="str">
        <f ca="1">IFERROR(MATCH(A31,OFFSET(Grades!$A$1,MATCH(Rates!$B$2,LIST,0),2,1,SUMIF(Grades!$A:$A,Rates!$B$2,Grades!$B:$B)),0),"-")</f>
        <v>-</v>
      </c>
    </row>
    <row r="32" spans="1:40" ht="18.75" customHeight="1" x14ac:dyDescent="0.2">
      <c r="A32" s="8">
        <v>29</v>
      </c>
      <c r="B32" s="31">
        <v>32817</v>
      </c>
      <c r="C32" s="11"/>
      <c r="D32" s="8">
        <v>29</v>
      </c>
      <c r="E32" s="31">
        <v>33309</v>
      </c>
      <c r="F32" s="121"/>
      <c r="G32" s="3"/>
      <c r="H32" s="3"/>
      <c r="I32" s="3"/>
      <c r="J32" s="33">
        <v>29</v>
      </c>
      <c r="K32" s="33" t="s">
        <v>176</v>
      </c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6" t="str">
        <f ca="1">IFERROR(MATCH(A32,OFFSET(Grades!$A$1,MATCH(Rates!$B$2,LIST,0),2,1,SUMIF(Grades!$A:$A,Rates!$B$2,Grades!$B:$B)),0),"-")</f>
        <v>-</v>
      </c>
    </row>
    <row r="33" spans="1:40" ht="18.75" customHeight="1" x14ac:dyDescent="0.2">
      <c r="A33" s="8">
        <v>30</v>
      </c>
      <c r="B33" s="31">
        <v>33797</v>
      </c>
      <c r="C33" s="11"/>
      <c r="D33" s="8">
        <v>30</v>
      </c>
      <c r="E33" s="31">
        <v>34304</v>
      </c>
      <c r="F33" s="121"/>
      <c r="G33" s="3"/>
      <c r="H33" s="3"/>
      <c r="I33" s="3"/>
      <c r="J33" s="33">
        <v>30</v>
      </c>
      <c r="K33" s="33" t="s">
        <v>176</v>
      </c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6" t="str">
        <f ca="1">IFERROR(MATCH(A33,OFFSET(Grades!$A$1,MATCH(Rates!$B$2,LIST,0),2,1,SUMIF(Grades!$A:$A,Rates!$B$2,Grades!$B:$B)),0),"-")</f>
        <v>-</v>
      </c>
    </row>
    <row r="34" spans="1:40" ht="18.75" customHeight="1" x14ac:dyDescent="0.2">
      <c r="A34" s="8">
        <v>31</v>
      </c>
      <c r="B34" s="31">
        <v>34804</v>
      </c>
      <c r="C34" s="11"/>
      <c r="D34" s="8">
        <v>31</v>
      </c>
      <c r="E34" s="31">
        <v>35326</v>
      </c>
      <c r="F34" s="121"/>
      <c r="G34" s="3"/>
      <c r="H34" s="3"/>
      <c r="I34" s="3"/>
      <c r="J34" s="33">
        <v>31</v>
      </c>
      <c r="K34" s="33" t="s">
        <v>176</v>
      </c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6" t="str">
        <f ca="1">IFERROR(MATCH(A34,OFFSET(Grades!$A$1,MATCH(Rates!$B$2,LIST,0),2,1,SUMIF(Grades!$A:$A,Rates!$B$2,Grades!$B:$B)),0),"-")</f>
        <v>-</v>
      </c>
    </row>
    <row r="35" spans="1:40" ht="18.75" customHeight="1" x14ac:dyDescent="0.2">
      <c r="A35" s="8">
        <v>32</v>
      </c>
      <c r="B35" s="31">
        <v>35845</v>
      </c>
      <c r="C35" s="11"/>
      <c r="D35" s="8">
        <v>32</v>
      </c>
      <c r="E35" s="31">
        <v>36382</v>
      </c>
      <c r="F35" s="121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6" t="str">
        <f ca="1">IFERROR(MATCH(A35,OFFSET(Grades!$A$1,MATCH(Rates!$B$2,LIST,0),2,1,SUMIF(Grades!$A:$A,Rates!$B$2,Grades!$B:$B)),0),"-")</f>
        <v>-</v>
      </c>
    </row>
    <row r="36" spans="1:40" ht="18.75" customHeight="1" x14ac:dyDescent="0.2">
      <c r="A36" s="8">
        <v>33</v>
      </c>
      <c r="B36" s="31">
        <v>36914</v>
      </c>
      <c r="C36" s="11"/>
      <c r="D36" s="8">
        <v>33</v>
      </c>
      <c r="E36" s="31">
        <v>37467</v>
      </c>
      <c r="F36" s="121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6" t="str">
        <f ca="1">IFERROR(MATCH(A36,OFFSET(Grades!$A$1,MATCH(Rates!$B$2,LIST,0),2,1,SUMIF(Grades!$A:$A,Rates!$B$2,Grades!$B:$B)),0),"-")</f>
        <v>-</v>
      </c>
    </row>
    <row r="37" spans="1:40" ht="18.75" customHeight="1" x14ac:dyDescent="0.2">
      <c r="A37" s="8">
        <v>34</v>
      </c>
      <c r="B37" s="31">
        <v>38017</v>
      </c>
      <c r="C37" s="11"/>
      <c r="D37" s="8">
        <v>34</v>
      </c>
      <c r="E37" s="31">
        <v>38587</v>
      </c>
      <c r="F37" s="121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6" t="str">
        <f ca="1">IFERROR(MATCH(A37,OFFSET(Grades!$A$1,MATCH(Rates!$B$2,LIST,0),2,1,SUMIF(Grades!$A:$A,Rates!$B$2,Grades!$B:$B)),0),"-")</f>
        <v>-</v>
      </c>
    </row>
    <row r="38" spans="1:40" ht="18.75" customHeight="1" x14ac:dyDescent="0.2">
      <c r="A38" s="8">
        <v>35</v>
      </c>
      <c r="B38" s="31">
        <v>39152</v>
      </c>
      <c r="C38" s="11"/>
      <c r="D38" s="8">
        <v>35</v>
      </c>
      <c r="E38" s="31">
        <v>39739</v>
      </c>
      <c r="F38" s="121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6" t="str">
        <f ca="1">IFERROR(MATCH(A38,OFFSET(Grades!$A$1,MATCH(Rates!$B$2,LIST,0),2,1,SUMIF(Grades!$A:$A,Rates!$B$2,Grades!$B:$B)),0),"-")</f>
        <v>-</v>
      </c>
    </row>
    <row r="39" spans="1:40" ht="18.75" customHeight="1" x14ac:dyDescent="0.2">
      <c r="A39" s="8">
        <v>36</v>
      </c>
      <c r="B39" s="31">
        <v>40322</v>
      </c>
      <c r="C39" s="11"/>
      <c r="D39" s="8">
        <v>36</v>
      </c>
      <c r="E39" s="31">
        <v>40927</v>
      </c>
      <c r="F39" s="121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6" t="str">
        <f ca="1">IFERROR(MATCH(A39,OFFSET(Grades!$A$1,MATCH(Rates!$B$2,LIST,0),2,1,SUMIF(Grades!$A:$A,Rates!$B$2,Grades!$B:$B)),0),"-")</f>
        <v>-</v>
      </c>
    </row>
    <row r="40" spans="1:40" ht="18.75" customHeight="1" x14ac:dyDescent="0.2">
      <c r="A40" s="8">
        <v>37</v>
      </c>
      <c r="B40" s="31">
        <v>41526</v>
      </c>
      <c r="C40" s="11"/>
      <c r="D40" s="8">
        <v>37</v>
      </c>
      <c r="E40" s="31">
        <v>42149</v>
      </c>
      <c r="F40" s="121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6" t="str">
        <f ca="1">IFERROR(MATCH(A40,OFFSET(Grades!$A$1,MATCH(Rates!$B$2,LIST,0),2,1,SUMIF(Grades!$A:$A,Rates!$B$2,Grades!$B:$B)),0),"-")</f>
        <v>-</v>
      </c>
    </row>
    <row r="41" spans="1:40" ht="18.75" customHeight="1" x14ac:dyDescent="0.2">
      <c r="A41" s="8">
        <v>38</v>
      </c>
      <c r="B41" s="31">
        <v>42792</v>
      </c>
      <c r="C41" s="11"/>
      <c r="D41" s="8">
        <v>38</v>
      </c>
      <c r="E41" s="31">
        <v>43434</v>
      </c>
      <c r="F41" s="121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6" t="str">
        <f ca="1">IFERROR(MATCH(A41,OFFSET(Grades!$A$1,MATCH(Rates!$B$2,LIST,0),2,1,SUMIF(Grades!$A:$A,Rates!$B$2,Grades!$B:$B)),0),"-")</f>
        <v>-</v>
      </c>
    </row>
    <row r="42" spans="1:40" ht="18.75" customHeight="1" x14ac:dyDescent="0.2">
      <c r="A42" s="8">
        <v>39</v>
      </c>
      <c r="B42" s="31">
        <v>44045</v>
      </c>
      <c r="C42" s="11"/>
      <c r="D42" s="8">
        <v>39</v>
      </c>
      <c r="E42" s="31">
        <v>44706</v>
      </c>
      <c r="F42" s="121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6" t="str">
        <f ca="1">IFERROR(MATCH(A42,OFFSET(Grades!$A$1,MATCH(Rates!$B$2,LIST,0),2,1,SUMIF(Grades!$A:$A,Rates!$B$2,Grades!$B:$B)),0),"-")</f>
        <v>-</v>
      </c>
    </row>
    <row r="43" spans="1:40" ht="18.75" customHeight="1" x14ac:dyDescent="0.2">
      <c r="A43" s="8">
        <v>40</v>
      </c>
      <c r="B43" s="31">
        <v>45361</v>
      </c>
      <c r="C43" s="11"/>
      <c r="D43" s="8">
        <v>40</v>
      </c>
      <c r="E43" s="31">
        <v>46042</v>
      </c>
      <c r="F43" s="121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6" t="str">
        <f ca="1">IFERROR(MATCH(A43,OFFSET(Grades!$A$1,MATCH(Rates!$B$2,LIST,0),2,1,SUMIF(Grades!$A:$A,Rates!$B$2,Grades!$B:$B)),0),"-")</f>
        <v>-</v>
      </c>
    </row>
    <row r="44" spans="1:40" ht="18.75" customHeight="1" x14ac:dyDescent="0.2">
      <c r="A44" s="8">
        <v>41</v>
      </c>
      <c r="B44" s="31">
        <v>46718</v>
      </c>
      <c r="C44" s="11"/>
      <c r="D44" s="8">
        <v>41</v>
      </c>
      <c r="E44" s="31">
        <v>47419</v>
      </c>
      <c r="F44" s="121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6" t="str">
        <f ca="1">IFERROR(MATCH(A44,OFFSET(Grades!$A$1,MATCH(Rates!$B$2,LIST,0),2,1,SUMIF(Grades!$A:$A,Rates!$B$2,Grades!$B:$B)),0),"-")</f>
        <v>-</v>
      </c>
    </row>
    <row r="45" spans="1:40" ht="18.75" customHeight="1" x14ac:dyDescent="0.2">
      <c r="A45" s="8">
        <v>42</v>
      </c>
      <c r="B45" s="31">
        <v>48114</v>
      </c>
      <c r="C45" s="11"/>
      <c r="D45" s="8">
        <v>42</v>
      </c>
      <c r="E45" s="31">
        <v>48835</v>
      </c>
      <c r="F45" s="121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6" t="str">
        <f ca="1">IFERROR(MATCH(A45,OFFSET(Grades!$A$1,MATCH(Rates!$B$2,LIST,0),2,1,SUMIF(Grades!$A:$A,Rates!$B$2,Grades!$B:$B)),0),"-")</f>
        <v>-</v>
      </c>
    </row>
    <row r="46" spans="1:40" ht="18.75" customHeight="1" x14ac:dyDescent="0.2">
      <c r="A46" s="8">
        <v>43</v>
      </c>
      <c r="B46" s="31">
        <v>49553</v>
      </c>
      <c r="C46" s="11"/>
      <c r="D46" s="8">
        <v>43</v>
      </c>
      <c r="E46" s="31">
        <v>50296</v>
      </c>
      <c r="F46" s="121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6" t="str">
        <f ca="1">IFERROR(MATCH(A46,OFFSET(Grades!$A$1,MATCH(Rates!$B$2,LIST,0),2,1,SUMIF(Grades!$A:$A,Rates!$B$2,Grades!$B:$B)),0),"-")</f>
        <v>-</v>
      </c>
    </row>
    <row r="47" spans="1:40" ht="18.75" customHeight="1" x14ac:dyDescent="0.2">
      <c r="A47" s="8">
        <v>44</v>
      </c>
      <c r="B47" s="31">
        <v>51034</v>
      </c>
      <c r="C47" s="11"/>
      <c r="D47" s="8">
        <v>44</v>
      </c>
      <c r="E47" s="31">
        <v>51799</v>
      </c>
      <c r="F47" s="121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6" t="str">
        <f ca="1">IFERROR(MATCH(A47,OFFSET(Grades!$A$1,MATCH(Rates!$B$2,LIST,0),2,1,SUMIF(Grades!$A:$A,Rates!$B$2,Grades!$B:$B)),0),"-")</f>
        <v>-</v>
      </c>
    </row>
    <row r="48" spans="1:40" ht="18.75" customHeight="1" x14ac:dyDescent="0.2">
      <c r="A48" s="8">
        <v>45</v>
      </c>
      <c r="B48" s="31">
        <v>52560</v>
      </c>
      <c r="C48" s="11"/>
      <c r="D48" s="8">
        <v>45</v>
      </c>
      <c r="E48" s="31">
        <v>53348</v>
      </c>
      <c r="F48" s="121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6" t="str">
        <f ca="1">IFERROR(MATCH(A48,OFFSET(Grades!$A$1,MATCH(Rates!$B$2,LIST,0),2,1,SUMIF(Grades!$A:$A,Rates!$B$2,Grades!$B:$B)),0),"-")</f>
        <v>-</v>
      </c>
    </row>
    <row r="49" spans="1:40" ht="18.75" customHeight="1" x14ac:dyDescent="0.2">
      <c r="A49" s="8">
        <v>46</v>
      </c>
      <c r="B49" s="31">
        <v>54131</v>
      </c>
      <c r="C49" s="11"/>
      <c r="D49" s="8">
        <v>46</v>
      </c>
      <c r="E49" s="31">
        <v>54943</v>
      </c>
      <c r="F49" s="121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6" t="str">
        <f ca="1">IFERROR(MATCH(A49,OFFSET(Grades!$A$1,MATCH(Rates!$B$2,LIST,0),2,1,SUMIF(Grades!$A:$A,Rates!$B$2,Grades!$B:$B)),0),"-")</f>
        <v>-</v>
      </c>
    </row>
    <row r="50" spans="1:40" ht="18.75" customHeight="1" x14ac:dyDescent="0.2">
      <c r="A50" s="8">
        <v>47</v>
      </c>
      <c r="B50" s="31">
        <v>55750</v>
      </c>
      <c r="C50" s="11"/>
      <c r="D50" s="8">
        <v>47</v>
      </c>
      <c r="E50" s="31">
        <v>56587</v>
      </c>
      <c r="F50" s="121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6" t="str">
        <f ca="1">IFERROR(MATCH(A50,OFFSET(Grades!$A$1,MATCH(Rates!$B$2,LIST,0),2,1,SUMIF(Grades!$A:$A,Rates!$B$2,Grades!$B:$B)),0),"-")</f>
        <v>-</v>
      </c>
    </row>
    <row r="51" spans="1:40" ht="18.75" customHeight="1" x14ac:dyDescent="0.2">
      <c r="A51" s="8">
        <v>48</v>
      </c>
      <c r="B51" s="31">
        <v>57418</v>
      </c>
      <c r="C51" s="11"/>
      <c r="D51" s="8">
        <v>48</v>
      </c>
      <c r="E51" s="31">
        <v>58279</v>
      </c>
      <c r="F51" s="121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6" t="str">
        <f ca="1">IFERROR(MATCH(A51,OFFSET(Grades!$A$1,MATCH(Rates!$B$2,LIST,0),2,1,SUMIF(Grades!$A:$A,Rates!$B$2,Grades!$B:$B)),0),"-")</f>
        <v>-</v>
      </c>
    </row>
    <row r="52" spans="1:40" ht="18.75" customHeight="1" x14ac:dyDescent="0.2">
      <c r="A52" s="8">
        <v>49</v>
      </c>
      <c r="B52" s="31">
        <v>59135</v>
      </c>
      <c r="C52" s="11"/>
      <c r="D52" s="8">
        <v>49</v>
      </c>
      <c r="E52" s="31">
        <v>60022</v>
      </c>
      <c r="F52" s="121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6" t="str">
        <f ca="1">IFERROR(MATCH(A52,OFFSET(Grades!$A$1,MATCH(Rates!$B$2,LIST,0),2,1,SUMIF(Grades!$A:$A,Rates!$B$2,Grades!$B:$B)),0),"-")</f>
        <v>-</v>
      </c>
    </row>
    <row r="53" spans="1:40" ht="18.75" customHeight="1" x14ac:dyDescent="0.2">
      <c r="A53" s="8">
        <v>50</v>
      </c>
      <c r="B53" s="31">
        <v>60905</v>
      </c>
      <c r="C53" s="11"/>
      <c r="D53" s="8">
        <v>50</v>
      </c>
      <c r="E53" s="31">
        <v>61818</v>
      </c>
      <c r="F53" s="121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6" t="str">
        <f ca="1">IFERROR(MATCH(A53,OFFSET(Grades!$A$1,MATCH(Rates!$B$2,LIST,0),2,1,SUMIF(Grades!$A:$A,Rates!$B$2,Grades!$B:$B)),0),"-")</f>
        <v>-</v>
      </c>
    </row>
    <row r="54" spans="1:40" ht="18.75" customHeight="1" x14ac:dyDescent="0.2">
      <c r="A54" s="8">
        <v>51</v>
      </c>
      <c r="B54" s="31">
        <v>62727</v>
      </c>
      <c r="C54" s="11"/>
      <c r="D54" s="8">
        <v>51</v>
      </c>
      <c r="E54" s="31">
        <v>63668</v>
      </c>
      <c r="F54" s="121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6" t="str">
        <f ca="1">IFERROR(MATCH(A54,OFFSET(Grades!$A$1,MATCH(Rates!$B$2,LIST,0),2,1,SUMIF(Grades!$A:$A,Rates!$B$2,Grades!$B:$B)),0),"-")</f>
        <v>-</v>
      </c>
    </row>
    <row r="55" spans="1:40" ht="18.75" customHeight="1" x14ac:dyDescent="0.25">
      <c r="A55" s="9">
        <v>52</v>
      </c>
      <c r="B55" s="30">
        <v>64585</v>
      </c>
      <c r="C55" s="11"/>
      <c r="D55" s="9">
        <v>52</v>
      </c>
      <c r="E55" s="30">
        <v>65554</v>
      </c>
      <c r="F55" s="39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6" t="str">
        <f ca="1">IFERROR(MATCH(A55,OFFSET(Grades!$A$1,MATCH(Rates!$B$2,LIST,0),2,1,SUMIF(Grades!$A:$A,Rates!$B$2,Grades!$B:$B)),0),"-")</f>
        <v>-</v>
      </c>
    </row>
    <row r="56" spans="1:40" ht="18.75" customHeight="1" x14ac:dyDescent="0.25">
      <c r="A56" s="9">
        <v>53</v>
      </c>
      <c r="B56" s="30">
        <v>66518</v>
      </c>
      <c r="C56" s="11"/>
      <c r="D56" s="9">
        <v>53</v>
      </c>
      <c r="E56" s="30">
        <v>67516</v>
      </c>
      <c r="F56" s="39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6" t="str">
        <f ca="1">IFERROR(MATCH(A56,OFFSET(Grades!$A$1,MATCH(Rates!$B$2,LIST,0),2,1,SUMIF(Grades!$A:$A,Rates!$B$2,Grades!$B:$B)),0),"-")</f>
        <v>-</v>
      </c>
    </row>
    <row r="57" spans="1:40" ht="18.75" customHeight="1" x14ac:dyDescent="0.25">
      <c r="A57" s="9">
        <v>54</v>
      </c>
      <c r="B57" s="30">
        <v>68511</v>
      </c>
      <c r="C57" s="11"/>
      <c r="D57" s="9">
        <v>54</v>
      </c>
      <c r="E57" s="30">
        <v>69539</v>
      </c>
      <c r="F57" s="39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6" t="str">
        <f ca="1">IFERROR(MATCH(A57,OFFSET(Grades!$A$1,MATCH(Rates!$B$2,LIST,0),2,1,SUMIF(Grades!$A:$A,Rates!$B$2,Grades!$B:$B)),0),"-")</f>
        <v>-</v>
      </c>
    </row>
    <row r="58" spans="1:40" ht="18.75" customHeight="1" x14ac:dyDescent="0.25">
      <c r="A58" s="9">
        <v>55</v>
      </c>
      <c r="B58" s="30">
        <v>70561</v>
      </c>
      <c r="C58" s="11"/>
      <c r="D58" s="9">
        <v>55</v>
      </c>
      <c r="E58" s="30">
        <v>71619</v>
      </c>
      <c r="F58" s="39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6" t="str">
        <f ca="1">IFERROR(MATCH(A58,OFFSET(Grades!$A$1,MATCH(Rates!$B$2,LIST,0),2,1,SUMIF(Grades!$A:$A,Rates!$B$2,Grades!$B:$B)),0),"-")</f>
        <v>-</v>
      </c>
    </row>
    <row r="59" spans="1:40" ht="18.75" customHeight="1" x14ac:dyDescent="0.25">
      <c r="A59" s="9">
        <v>56</v>
      </c>
      <c r="B59" s="30">
        <v>72672</v>
      </c>
      <c r="C59" s="11"/>
      <c r="D59" s="9">
        <v>56</v>
      </c>
      <c r="E59" s="30">
        <v>73762</v>
      </c>
      <c r="F59" s="39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6" t="str">
        <f ca="1">IFERROR(MATCH(A59,OFFSET(Grades!$A$1,MATCH(Rates!$B$2,LIST,0),2,1,SUMIF(Grades!$A:$A,Rates!$B$2,Grades!$B:$B)),0),"-")</f>
        <v>-</v>
      </c>
    </row>
    <row r="60" spans="1:40" ht="18.75" customHeight="1" x14ac:dyDescent="0.25">
      <c r="A60" s="9">
        <v>57</v>
      </c>
      <c r="B60" s="30">
        <v>74847</v>
      </c>
      <c r="C60" s="11"/>
      <c r="D60" s="9">
        <v>57</v>
      </c>
      <c r="E60" s="30">
        <v>75970</v>
      </c>
      <c r="F60" s="39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6" t="str">
        <f ca="1">IFERROR(MATCH(A60,OFFSET(Grades!$A$1,MATCH(Rates!$B$2,LIST,0),2,1,SUMIF(Grades!$A:$A,Rates!$B$2,Grades!$B:$B)),0),"-")</f>
        <v>-</v>
      </c>
    </row>
    <row r="61" spans="1:40" ht="18.75" customHeight="1" x14ac:dyDescent="0.2">
      <c r="A61" s="9">
        <v>116</v>
      </c>
      <c r="B61" s="89">
        <f>ROUND(B4*70%,0)</f>
        <v>11277</v>
      </c>
      <c r="C61" s="18" t="s">
        <v>215</v>
      </c>
      <c r="D61" s="9">
        <v>116</v>
      </c>
      <c r="E61" s="89">
        <f>ROUND(E4*70%,0)</f>
        <v>11683</v>
      </c>
      <c r="F61" s="18" t="s">
        <v>214</v>
      </c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6" t="str">
        <f ca="1">IFERROR(MATCH(A61,OFFSET(Grades!$A$1,MATCH(Rates!$B$2,LIST,0),2,1,SUMIF(Grades!$A:$A,Rates!$B$2,Grades!$B:$B)),0),"-")</f>
        <v>-</v>
      </c>
    </row>
    <row r="62" spans="1:40" ht="18.75" customHeight="1" x14ac:dyDescent="0.25">
      <c r="A62" s="9">
        <v>216</v>
      </c>
      <c r="B62" s="8">
        <f t="shared" ref="B62:B69" si="7">ROUND(B5*70%,0)</f>
        <v>11494</v>
      </c>
      <c r="C62" s="18"/>
      <c r="D62" s="9">
        <v>216</v>
      </c>
      <c r="E62" s="8">
        <f t="shared" ref="E62:E69" si="8">ROUND(E5*70%,0)</f>
        <v>11908</v>
      </c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6" t="str">
        <f ca="1">IFERROR(MATCH(A62,OFFSET(Grades!$A$1,MATCH(Rates!$B$2,LIST,0),2,1,SUMIF(Grades!$A:$A,Rates!$B$2,Grades!$B:$B)),0),"-")</f>
        <v>-</v>
      </c>
    </row>
    <row r="63" spans="1:40" ht="18.75" customHeight="1" x14ac:dyDescent="0.25">
      <c r="A63" s="9">
        <v>316</v>
      </c>
      <c r="B63" s="8">
        <f t="shared" si="7"/>
        <v>11757</v>
      </c>
      <c r="C63" s="3"/>
      <c r="D63" s="9">
        <v>316</v>
      </c>
      <c r="E63" s="8">
        <f t="shared" si="8"/>
        <v>12137</v>
      </c>
      <c r="F63" s="3"/>
      <c r="AN63" s="36" t="str">
        <f ca="1">IFERROR(MATCH(A63,OFFSET(Grades!$A$1,MATCH(Rates!$B$2,LIST,0),2,1,SUMIF(Grades!$A:$A,Rates!$B$2,Grades!$B:$B)),0),"-")</f>
        <v>-</v>
      </c>
    </row>
    <row r="64" spans="1:40" ht="18.75" customHeight="1" x14ac:dyDescent="0.25">
      <c r="A64" s="9">
        <v>416</v>
      </c>
      <c r="B64" s="8">
        <f t="shared" si="7"/>
        <v>11932</v>
      </c>
      <c r="C64" s="3"/>
      <c r="D64" s="9">
        <v>416</v>
      </c>
      <c r="E64" s="8">
        <f t="shared" si="8"/>
        <v>12317</v>
      </c>
      <c r="F64" s="3"/>
      <c r="AN64" s="36" t="str">
        <f ca="1">IFERROR(MATCH(A64,OFFSET(Grades!$A$1,MATCH(Rates!$B$2,LIST,0),2,1,SUMIF(Grades!$A:$A,Rates!$B$2,Grades!$B:$B)),0),"-")</f>
        <v>-</v>
      </c>
    </row>
    <row r="65" spans="1:40" ht="18.75" customHeight="1" x14ac:dyDescent="0.25">
      <c r="A65" s="9">
        <v>516</v>
      </c>
      <c r="B65" s="8">
        <f t="shared" si="7"/>
        <v>12153</v>
      </c>
      <c r="C65" s="3"/>
      <c r="D65" s="9">
        <v>516</v>
      </c>
      <c r="E65" s="8">
        <f t="shared" si="8"/>
        <v>12531</v>
      </c>
      <c r="F65" s="3"/>
      <c r="AN65" s="36" t="str">
        <f ca="1">IFERROR(MATCH(A65,OFFSET(Grades!$A$1,MATCH(Rates!$B$2,LIST,0),2,1,SUMIF(Grades!$A:$A,Rates!$B$2,Grades!$B:$B)),0),"-")</f>
        <v>-</v>
      </c>
    </row>
    <row r="66" spans="1:40" ht="18.75" customHeight="1" x14ac:dyDescent="0.25">
      <c r="A66" s="9">
        <v>616</v>
      </c>
      <c r="B66" s="8">
        <f t="shared" si="7"/>
        <v>12377</v>
      </c>
      <c r="C66" s="3"/>
      <c r="D66" s="9">
        <v>616</v>
      </c>
      <c r="E66" s="8">
        <f t="shared" si="8"/>
        <v>12748</v>
      </c>
      <c r="F66" s="3"/>
      <c r="AN66" s="36" t="str">
        <f ca="1">IFERROR(MATCH(A66,OFFSET(Grades!$A$1,MATCH(Rates!$B$2,LIST,0),2,1,SUMIF(Grades!$A:$A,Rates!$B$2,Grades!$B:$B)),0),"-")</f>
        <v>-</v>
      </c>
    </row>
    <row r="67" spans="1:40" ht="18.75" customHeight="1" x14ac:dyDescent="0.25">
      <c r="A67" s="9">
        <v>716</v>
      </c>
      <c r="B67" s="8">
        <f t="shared" si="7"/>
        <v>12606</v>
      </c>
      <c r="C67" s="3"/>
      <c r="D67" s="9">
        <v>716</v>
      </c>
      <c r="E67" s="8">
        <f t="shared" si="8"/>
        <v>12970</v>
      </c>
      <c r="F67" s="3"/>
      <c r="AN67" s="36" t="str">
        <f ca="1">IFERROR(MATCH(A67,OFFSET(Grades!$A$1,MATCH(Rates!$B$2,LIST,0),2,1,SUMIF(Grades!$A:$A,Rates!$B$2,Grades!$B:$B)),0),"-")</f>
        <v>-</v>
      </c>
    </row>
    <row r="68" spans="1:40" ht="18.75" customHeight="1" x14ac:dyDescent="0.25">
      <c r="A68" s="9">
        <v>816</v>
      </c>
      <c r="B68" s="8">
        <f t="shared" si="7"/>
        <v>12839</v>
      </c>
      <c r="C68" s="3"/>
      <c r="D68" s="9">
        <v>816</v>
      </c>
      <c r="E68" s="8">
        <f t="shared" si="8"/>
        <v>13196</v>
      </c>
      <c r="F68" s="3"/>
      <c r="Q68" s="19"/>
      <c r="AN68" s="36" t="str">
        <f ca="1">IFERROR(MATCH(A68,OFFSET(Grades!$A$1,MATCH(Rates!$B$2,LIST,0),2,1,SUMIF(Grades!$A:$A,Rates!$B$2,Grades!$B:$B)),0),"-")</f>
        <v>-</v>
      </c>
    </row>
    <row r="69" spans="1:40" ht="18.75" customHeight="1" x14ac:dyDescent="0.25">
      <c r="A69" s="9">
        <v>916</v>
      </c>
      <c r="B69" s="8">
        <f t="shared" si="7"/>
        <v>13096</v>
      </c>
      <c r="C69" s="3"/>
      <c r="D69" s="9">
        <v>916</v>
      </c>
      <c r="E69" s="8">
        <f t="shared" si="8"/>
        <v>13446</v>
      </c>
      <c r="F69" s="3"/>
      <c r="AN69" s="36" t="str">
        <f ca="1">IFERROR(MATCH(A69,OFFSET(Grades!$A$1,MATCH(Rates!$B$2,LIST,0),2,1,SUMIF(Grades!$A:$A,Rates!$B$2,Grades!$B:$B)),0),"-")</f>
        <v>-</v>
      </c>
    </row>
    <row r="70" spans="1:40" ht="18.75" customHeight="1" x14ac:dyDescent="0.25">
      <c r="A70" s="9">
        <v>117</v>
      </c>
      <c r="B70" s="90">
        <f>ROUND(B4*85%,0)</f>
        <v>13694</v>
      </c>
      <c r="C70" s="18" t="s">
        <v>215</v>
      </c>
      <c r="D70" s="9">
        <v>117</v>
      </c>
      <c r="E70" s="90">
        <f>ROUND(E4*85%,0)</f>
        <v>14187</v>
      </c>
      <c r="F70" s="18" t="s">
        <v>214</v>
      </c>
      <c r="AN70" s="36" t="str">
        <f ca="1">IFERROR(MATCH(A70,OFFSET(Grades!$A$1,MATCH(Rates!$B$2,LIST,0),2,1,SUMIF(Grades!$A:$A,Rates!$B$2,Grades!$B:$B)),0),"-")</f>
        <v>-</v>
      </c>
    </row>
    <row r="71" spans="1:40" ht="18.75" customHeight="1" x14ac:dyDescent="0.25">
      <c r="A71" s="9">
        <v>217</v>
      </c>
      <c r="B71" s="8">
        <f t="shared" ref="B71:B78" si="9">ROUND(B5*85%,0)</f>
        <v>13957</v>
      </c>
      <c r="C71" s="18"/>
      <c r="D71" s="9">
        <v>217</v>
      </c>
      <c r="E71" s="8">
        <f t="shared" ref="E71:E78" si="10">ROUND(E5*85%,0)</f>
        <v>14459</v>
      </c>
      <c r="F71" s="3"/>
      <c r="AN71" s="36" t="str">
        <f ca="1">IFERROR(MATCH(A71,OFFSET(Grades!$A$1,MATCH(Rates!$B$2,LIST,0),2,1,SUMIF(Grades!$A:$A,Rates!$B$2,Grades!$B:$B)),0),"-")</f>
        <v>-</v>
      </c>
    </row>
    <row r="72" spans="1:40" ht="18.75" customHeight="1" x14ac:dyDescent="0.25">
      <c r="A72" s="9">
        <v>317</v>
      </c>
      <c r="B72" s="8">
        <f t="shared" si="9"/>
        <v>14276</v>
      </c>
      <c r="C72" s="3"/>
      <c r="D72" s="9">
        <v>317</v>
      </c>
      <c r="E72" s="8">
        <f t="shared" si="10"/>
        <v>14737</v>
      </c>
      <c r="F72" s="3"/>
      <c r="AN72" s="36" t="str">
        <f ca="1">IFERROR(MATCH(A72,OFFSET(Grades!$A$1,MATCH(Rates!$B$2,LIST,0),2,1,SUMIF(Grades!$A:$A,Rates!$B$2,Grades!$B:$B)),0),"-")</f>
        <v>-</v>
      </c>
    </row>
    <row r="73" spans="1:40" ht="18.75" customHeight="1" x14ac:dyDescent="0.25">
      <c r="A73" s="9">
        <v>417</v>
      </c>
      <c r="B73" s="8">
        <f t="shared" si="9"/>
        <v>14489</v>
      </c>
      <c r="C73" s="3"/>
      <c r="D73" s="9">
        <v>417</v>
      </c>
      <c r="E73" s="8">
        <f t="shared" si="10"/>
        <v>14957</v>
      </c>
      <c r="F73" s="3"/>
      <c r="AN73" s="36" t="str">
        <f ca="1">IFERROR(MATCH(A73,OFFSET(Grades!$A$1,MATCH(Rates!$B$2,LIST,0),2,1,SUMIF(Grades!$A:$A,Rates!$B$2,Grades!$B:$B)),0),"-")</f>
        <v>-</v>
      </c>
    </row>
    <row r="74" spans="1:40" ht="18.75" customHeight="1" x14ac:dyDescent="0.25">
      <c r="A74" s="9">
        <v>517</v>
      </c>
      <c r="B74" s="8">
        <f t="shared" si="9"/>
        <v>14757</v>
      </c>
      <c r="C74" s="3"/>
      <c r="D74" s="9">
        <v>517</v>
      </c>
      <c r="E74" s="8">
        <f t="shared" si="10"/>
        <v>15216</v>
      </c>
      <c r="F74" s="3"/>
      <c r="AN74" s="36" t="str">
        <f ca="1">IFERROR(MATCH(A74,OFFSET(Grades!$A$1,MATCH(Rates!$B$2,LIST,0),2,1,SUMIF(Grades!$A:$A,Rates!$B$2,Grades!$B:$B)),0),"-")</f>
        <v>-</v>
      </c>
    </row>
    <row r="75" spans="1:40" ht="18.75" customHeight="1" x14ac:dyDescent="0.25">
      <c r="A75" s="9">
        <v>617</v>
      </c>
      <c r="B75" s="8">
        <f t="shared" si="9"/>
        <v>15030</v>
      </c>
      <c r="C75" s="3"/>
      <c r="D75" s="9">
        <v>617</v>
      </c>
      <c r="E75" s="8">
        <f t="shared" si="10"/>
        <v>15480</v>
      </c>
      <c r="F75" s="3"/>
      <c r="AN75" s="36" t="str">
        <f ca="1">IFERROR(MATCH(A75,OFFSET(Grades!$A$1,MATCH(Rates!$B$2,LIST,0),2,1,SUMIF(Grades!$A:$A,Rates!$B$2,Grades!$B:$B)),0),"-")</f>
        <v>-</v>
      </c>
    </row>
    <row r="76" spans="1:40" ht="18.75" customHeight="1" x14ac:dyDescent="0.25">
      <c r="A76" s="9">
        <v>717</v>
      </c>
      <c r="B76" s="8">
        <f t="shared" si="9"/>
        <v>15308</v>
      </c>
      <c r="C76" s="3"/>
      <c r="D76" s="9">
        <v>717</v>
      </c>
      <c r="E76" s="8">
        <f t="shared" si="10"/>
        <v>15750</v>
      </c>
      <c r="F76" s="3"/>
      <c r="AN76" s="36" t="str">
        <f ca="1">IFERROR(MATCH(A76,OFFSET(Grades!$A$1,MATCH(Rates!$B$2,LIST,0),2,1,SUMIF(Grades!$A:$A,Rates!$B$2,Grades!$B:$B)),0),"-")</f>
        <v>-</v>
      </c>
    </row>
    <row r="77" spans="1:40" ht="18.75" customHeight="1" x14ac:dyDescent="0.25">
      <c r="A77" s="9">
        <v>817</v>
      </c>
      <c r="B77" s="8">
        <f t="shared" si="9"/>
        <v>15591</v>
      </c>
      <c r="C77" s="3"/>
      <c r="D77" s="9">
        <v>817</v>
      </c>
      <c r="E77" s="8">
        <f t="shared" si="10"/>
        <v>16024</v>
      </c>
      <c r="F77" s="3"/>
      <c r="AN77" s="36" t="str">
        <f ca="1">IFERROR(MATCH(A77,OFFSET(Grades!$A$1,MATCH(Rates!$B$2,LIST,0),2,1,SUMIF(Grades!$A:$A,Rates!$B$2,Grades!$B:$B)),0),"-")</f>
        <v>-</v>
      </c>
    </row>
    <row r="78" spans="1:40" ht="18.75" customHeight="1" x14ac:dyDescent="0.25">
      <c r="A78" s="9">
        <v>917</v>
      </c>
      <c r="B78" s="8">
        <f t="shared" si="9"/>
        <v>15903</v>
      </c>
      <c r="C78" s="3"/>
      <c r="D78" s="9">
        <v>917</v>
      </c>
      <c r="E78" s="8">
        <f t="shared" si="10"/>
        <v>16328</v>
      </c>
      <c r="F78" s="3"/>
      <c r="AN78" s="36" t="str">
        <f ca="1">IFERROR(MATCH(A78,OFFSET(Grades!$A$1,MATCH(Rates!$B$2,LIST,0),2,1,SUMIF(Grades!$A:$A,Rates!$B$2,Grades!$B:$B)),0),"-")</f>
        <v>-</v>
      </c>
    </row>
    <row r="79" spans="1:40" ht="18.75" customHeight="1" x14ac:dyDescent="0.25">
      <c r="A79" s="9"/>
      <c r="B79" s="8"/>
      <c r="D79" s="3"/>
      <c r="E79" s="3"/>
      <c r="F79" s="3"/>
      <c r="AN79" s="36" t="str">
        <f ca="1">IFERROR(MATCH(A79,OFFSET(Grades!$A$1,MATCH(Rates!$B$2,LIST,0),2,1,SUMIF(Grades!$A:$A,Rates!$B$2,Grades!$B:$B)),0),"-")</f>
        <v>-</v>
      </c>
    </row>
    <row r="80" spans="1:40" ht="18.75" customHeight="1" x14ac:dyDescent="0.25">
      <c r="A80" s="9" t="s">
        <v>191</v>
      </c>
      <c r="B80" s="8">
        <v>16420</v>
      </c>
      <c r="C80" s="20"/>
      <c r="D80" s="3"/>
      <c r="E80" s="3"/>
      <c r="F80" s="3"/>
      <c r="AN80" s="36" t="str">
        <f ca="1">IFERROR(MATCH(A80,OFFSET(Grades!$A$1,MATCH(Rates!$B$2,LIST,0),2,1,SUMIF(Grades!$A:$A,Rates!$B$2,Grades!$B:$B)),0),"-")</f>
        <v>-</v>
      </c>
    </row>
    <row r="81" spans="1:40" ht="18.75" customHeight="1" x14ac:dyDescent="0.25">
      <c r="A81" s="9"/>
      <c r="B81" s="8"/>
      <c r="D81" s="3"/>
      <c r="E81" s="3"/>
      <c r="F81" s="3"/>
      <c r="AN81" s="36" t="str">
        <f ca="1">IFERROR(MATCH(A81,OFFSET(Grades!$A$1,MATCH(Rates!$B$2,LIST,0),2,1,SUMIF(Grades!$A:$A,Rates!$B$2,Grades!$B:$B)),0),"-")</f>
        <v>-</v>
      </c>
    </row>
    <row r="82" spans="1:40" ht="18.75" customHeight="1" x14ac:dyDescent="0.25">
      <c r="A82" s="9"/>
      <c r="B82" s="8"/>
      <c r="C82" s="28" t="s">
        <v>192</v>
      </c>
      <c r="D82" s="3"/>
      <c r="E82" s="3"/>
      <c r="F82" s="3"/>
      <c r="AN82" s="36" t="str">
        <f ca="1">IFERROR(MATCH(A82,OFFSET(Grades!$A$1,MATCH(Rates!$B$2,LIST,0),2,1,SUMIF(Grades!$A:$A,Rates!$B$2,Grades!$B:$B)),0),"-")</f>
        <v>-</v>
      </c>
    </row>
    <row r="83" spans="1:40" ht="18.75" customHeight="1" x14ac:dyDescent="0.25">
      <c r="A83" s="9"/>
      <c r="B83" s="8"/>
      <c r="C83" s="28" t="s">
        <v>193</v>
      </c>
      <c r="D83" s="3"/>
      <c r="E83" s="3"/>
      <c r="F83" s="3"/>
      <c r="AN83" s="36" t="str">
        <f ca="1">IFERROR(MATCH(A83,OFFSET(Grades!$A$1,MATCH(Rates!$B$2,LIST,0),2,1,SUMIF(Grades!$A:$A,Rates!$B$2,Grades!$B:$B)),0),"-")</f>
        <v>-</v>
      </c>
    </row>
    <row r="84" spans="1:40" ht="18.75" customHeight="1" x14ac:dyDescent="0.25">
      <c r="A84" s="9"/>
      <c r="B84" s="8"/>
      <c r="D84" s="3"/>
      <c r="E84" s="3"/>
      <c r="F84" s="3"/>
      <c r="AN84" s="36" t="str">
        <f ca="1">IFERROR(MATCH(A84,OFFSET(Grades!$A$1,MATCH(Rates!$B$2,LIST,0),2,1,SUMIF(Grades!$A:$A,Rates!$B$2,Grades!$B:$B)),0),"-")</f>
        <v>-</v>
      </c>
    </row>
    <row r="85" spans="1:40" ht="18.75" customHeight="1" x14ac:dyDescent="0.25">
      <c r="A85" s="9"/>
      <c r="B85" s="8"/>
      <c r="D85" s="3"/>
      <c r="E85" s="3"/>
      <c r="F85" s="3"/>
      <c r="AN85" s="36" t="str">
        <f ca="1">IFERROR(MATCH(A85,OFFSET(Grades!$A$1,MATCH(Rates!$B$2,LIST,0),2,1,SUMIF(Grades!$A:$A,Rates!$B$2,Grades!$B:$B)),0),"-")</f>
        <v>-</v>
      </c>
    </row>
    <row r="86" spans="1:40" ht="18.75" customHeight="1" x14ac:dyDescent="0.25">
      <c r="A86" s="9"/>
      <c r="B86" s="8"/>
      <c r="D86" s="3"/>
      <c r="E86" s="3"/>
      <c r="F86" s="3"/>
      <c r="AN86" s="36" t="str">
        <f ca="1">IFERROR(MATCH(A86,OFFSET(Grades!$A$1,MATCH(Rates!$B$2,LIST,0),2,1,SUMIF(Grades!$A:$A,Rates!$B$2,Grades!$B:$B)),0),"-")</f>
        <v>-</v>
      </c>
    </row>
    <row r="87" spans="1:40" ht="18.75" customHeight="1" x14ac:dyDescent="0.25">
      <c r="A87" s="9"/>
      <c r="B87" s="8"/>
      <c r="D87" s="3"/>
      <c r="E87" s="3"/>
      <c r="F87" s="3"/>
      <c r="AN87" s="36" t="str">
        <f ca="1">IFERROR(MATCH(A87,OFFSET(Grades!$A$1,MATCH(Rates!$B$2,LIST,0),2,1,SUMIF(Grades!$A:$A,Rates!$B$2,Grades!$B:$B)),0),"-")</f>
        <v>-</v>
      </c>
    </row>
    <row r="88" spans="1:40" ht="18.75" customHeight="1" x14ac:dyDescent="0.25">
      <c r="A88" s="9"/>
      <c r="B88" s="8"/>
      <c r="D88" s="3"/>
      <c r="E88" s="3"/>
      <c r="F88" s="3"/>
      <c r="AN88" s="36" t="str">
        <f ca="1">IFERROR(MATCH(A88,OFFSET(Grades!$A$1,MATCH(Rates!$B$2,LIST,0),2,1,SUMIF(Grades!$A:$A,Rates!$B$2,Grades!$B:$B)),0),"-")</f>
        <v>-</v>
      </c>
    </row>
    <row r="89" spans="1:40" ht="18.75" customHeight="1" x14ac:dyDescent="0.25">
      <c r="A89" s="9"/>
      <c r="B89" s="8"/>
      <c r="D89" s="3"/>
      <c r="E89" s="3"/>
      <c r="F89" s="3"/>
      <c r="AN89" s="36" t="str">
        <f ca="1">IFERROR(MATCH(A89,OFFSET(Grades!$A$1,MATCH(Rates!$B$2,LIST,0),2,1,SUMIF(Grades!$A:$A,Rates!$B$2,Grades!$B:$B)),0),"-")</f>
        <v>-</v>
      </c>
    </row>
    <row r="90" spans="1:40" ht="18.75" customHeight="1" x14ac:dyDescent="0.25">
      <c r="A90" s="9"/>
      <c r="B90" s="8"/>
      <c r="D90" s="3"/>
      <c r="E90" s="3"/>
      <c r="F90" s="3"/>
      <c r="AN90" s="36" t="str">
        <f ca="1">IFERROR(MATCH(A90,OFFSET(Grades!$A$1,MATCH(Rates!$B$2,LIST,0),2,1,SUMIF(Grades!$A:$A,Rates!$B$2,Grades!$B:$B)),0),"-")</f>
        <v>-</v>
      </c>
    </row>
    <row r="91" spans="1:40" ht="18.75" customHeight="1" x14ac:dyDescent="0.25">
      <c r="A91" s="9"/>
      <c r="B91" s="8"/>
      <c r="D91" s="3"/>
      <c r="E91" s="3"/>
      <c r="F91" s="3"/>
      <c r="AN91" s="36" t="str">
        <f ca="1">IFERROR(MATCH(A91,OFFSET(Grades!$A$1,MATCH(Rates!$B$2,LIST,0),2,1,SUMIF(Grades!$A:$A,Rates!$B$2,Grades!$B:$B)),0),"-")</f>
        <v>-</v>
      </c>
    </row>
    <row r="92" spans="1:40" ht="18.75" customHeight="1" x14ac:dyDescent="0.25">
      <c r="A92" s="9"/>
      <c r="B92" s="8"/>
      <c r="D92" s="3"/>
      <c r="E92" s="3"/>
      <c r="F92" s="3"/>
      <c r="AN92" s="36" t="str">
        <f ca="1">IFERROR(MATCH(A92,OFFSET(Grades!$A$1,MATCH(Rates!$B$2,LIST,0),2,1,SUMIF(Grades!$A:$A,Rates!$B$2,Grades!$B:$B)),0),"-")</f>
        <v>-</v>
      </c>
    </row>
    <row r="93" spans="1:40" ht="18.75" customHeight="1" x14ac:dyDescent="0.25">
      <c r="A93" s="9"/>
      <c r="B93" s="8"/>
      <c r="D93" s="3"/>
      <c r="E93" s="3"/>
      <c r="F93" s="3"/>
      <c r="AN93" s="36" t="str">
        <f ca="1">IFERROR(MATCH(A93,OFFSET(Grades!$A$1,MATCH(Rates!$B$2,LIST,0),2,1,SUMIF(Grades!$A:$A,Rates!$B$2,Grades!$B:$B)),0),"-")</f>
        <v>-</v>
      </c>
    </row>
    <row r="94" spans="1:40" ht="18.75" customHeight="1" x14ac:dyDescent="0.25">
      <c r="A94" s="9"/>
      <c r="B94" s="8"/>
      <c r="D94" s="3"/>
      <c r="E94" s="3"/>
      <c r="F94" s="3"/>
      <c r="AN94" s="36" t="str">
        <f ca="1">IFERROR(MATCH(A94,OFFSET(Grades!$A$1,MATCH(Rates!$B$2,LIST,0),2,1,SUMIF(Grades!$A:$A,Rates!$B$2,Grades!$B:$B)),0),"-")</f>
        <v>-</v>
      </c>
    </row>
    <row r="95" spans="1:40" ht="18.75" customHeight="1" x14ac:dyDescent="0.25">
      <c r="A95" s="9"/>
      <c r="B95" s="8"/>
      <c r="D95" s="3"/>
      <c r="E95" s="3"/>
      <c r="F95" s="3"/>
      <c r="AN95" s="36" t="str">
        <f ca="1">IFERROR(MATCH(A95,OFFSET(Grades!$A$1,MATCH(Rates!$B$2,LIST,0),2,1,SUMIF(Grades!$A:$A,Rates!$B$2,Grades!$B:$B)),0),"-")</f>
        <v>-</v>
      </c>
    </row>
    <row r="96" spans="1:40" ht="18.75" customHeight="1" x14ac:dyDescent="0.25">
      <c r="A96" s="9"/>
      <c r="B96" s="8"/>
      <c r="D96" s="3"/>
      <c r="E96" s="3"/>
      <c r="F96" s="3"/>
      <c r="AN96" s="36" t="str">
        <f ca="1">IFERROR(MATCH(A96,OFFSET(Grades!$A$1,MATCH(Rates!$B$2,LIST,0),2,1,SUMIF(Grades!$A:$A,Rates!$B$2,Grades!$B:$B)),0),"-")</f>
        <v>-</v>
      </c>
    </row>
    <row r="97" spans="1:40" ht="18.75" customHeight="1" x14ac:dyDescent="0.25">
      <c r="A97" s="9"/>
      <c r="B97" s="8"/>
      <c r="D97" s="3"/>
      <c r="E97" s="3"/>
      <c r="F97" s="3"/>
      <c r="AN97" s="36" t="str">
        <f ca="1">IFERROR(MATCH(A97,OFFSET(Grades!$A$1,MATCH(Rates!$B$2,LIST,0),2,1,SUMIF(Grades!$A:$A,Rates!$B$2,Grades!$B:$B)),0),"-")</f>
        <v>-</v>
      </c>
    </row>
    <row r="98" spans="1:40" ht="18.75" customHeight="1" x14ac:dyDescent="0.25">
      <c r="A98" s="9"/>
      <c r="B98" s="8"/>
      <c r="D98" s="3"/>
      <c r="E98" s="3"/>
      <c r="F98" s="3"/>
      <c r="AN98" s="36" t="str">
        <f ca="1">IFERROR(MATCH(A98,OFFSET(Grades!$A$1,MATCH(Rates!$B$2,LIST,0),2,1,SUMIF(Grades!$A:$A,Rates!$B$2,Grades!$B:$B)),0),"-")</f>
        <v>-</v>
      </c>
    </row>
    <row r="99" spans="1:40" ht="18.75" customHeight="1" x14ac:dyDescent="0.25">
      <c r="A99" s="9"/>
      <c r="B99" s="8"/>
      <c r="D99" s="3"/>
      <c r="E99" s="3"/>
      <c r="F99" s="3"/>
      <c r="AN99" s="36" t="str">
        <f ca="1">IFERROR(MATCH(A99,OFFSET(Grades!$A$1,MATCH(Rates!$B$2,LIST,0),2,1,SUMIF(Grades!$A:$A,Rates!$B$2,Grades!$B:$B)),0),"-")</f>
        <v>-</v>
      </c>
    </row>
    <row r="100" spans="1:40" ht="18.75" customHeight="1" x14ac:dyDescent="0.25">
      <c r="A100" s="9"/>
      <c r="B100" s="8"/>
      <c r="D100" s="3"/>
      <c r="E100" s="3"/>
      <c r="F100" s="3"/>
      <c r="AN100" s="36" t="str">
        <f ca="1">IFERROR(MATCH(A100,OFFSET(Grades!$A$1,MATCH(Rates!$B$2,LIST,0),2,1,SUMIF(Grades!$A:$A,Rates!$B$2,Grades!$B:$B)),0),"-")</f>
        <v>-</v>
      </c>
    </row>
    <row r="101" spans="1:40" ht="18.75" customHeight="1" x14ac:dyDescent="0.25">
      <c r="A101" s="9"/>
      <c r="B101" s="8"/>
      <c r="D101" s="3"/>
      <c r="E101" s="3"/>
      <c r="F101" s="3"/>
      <c r="AN101" s="36" t="str">
        <f ca="1">IFERROR(MATCH(A101,OFFSET(Grades!$A$1,MATCH(Rates!$B$2,LIST,0),2,1,SUMIF(Grades!$A:$A,Rates!$B$2,Grades!$B:$B)),0),"-")</f>
        <v>-</v>
      </c>
    </row>
    <row r="102" spans="1:40" ht="18.75" customHeight="1" x14ac:dyDescent="0.25">
      <c r="A102" s="9"/>
      <c r="B102" s="8"/>
      <c r="D102" s="3"/>
      <c r="E102" s="3"/>
      <c r="F102" s="3"/>
      <c r="AN102" s="36" t="str">
        <f ca="1">IFERROR(MATCH(A102,OFFSET(Grades!$A$1,MATCH(Rates!$B$2,LIST,0),2,1,SUMIF(Grades!$A:$A,Rates!$B$2,Grades!$B:$B)),0),"-")</f>
        <v>-</v>
      </c>
    </row>
    <row r="103" spans="1:40" ht="18.75" customHeight="1" x14ac:dyDescent="0.25">
      <c r="A103" s="9"/>
      <c r="B103" s="8"/>
      <c r="D103" s="3"/>
      <c r="E103" s="3"/>
      <c r="F103" s="3"/>
      <c r="AN103" s="36" t="str">
        <f ca="1">IFERROR(MATCH(A103,OFFSET(Grades!$A$1,MATCH(Rates!$B$2,LIST,0),2,1,SUMIF(Grades!$A:$A,Rates!$B$2,Grades!$B:$B)),0),"-")</f>
        <v>-</v>
      </c>
    </row>
    <row r="104" spans="1:40" ht="18.75" customHeight="1" x14ac:dyDescent="0.25">
      <c r="A104" s="9"/>
      <c r="B104" s="8"/>
      <c r="D104" s="3"/>
      <c r="E104" s="3"/>
      <c r="F104" s="3"/>
      <c r="AN104" s="36" t="str">
        <f ca="1">IFERROR(MATCH(A104,OFFSET(Grades!$A$1,MATCH(Rates!$B$2,LIST,0),2,1,SUMIF(Grades!$A:$A,Rates!$B$2,Grades!$B:$B)),0),"-")</f>
        <v>-</v>
      </c>
    </row>
    <row r="105" spans="1:40" ht="18.75" customHeight="1" x14ac:dyDescent="0.25">
      <c r="A105" s="9"/>
      <c r="B105" s="8"/>
      <c r="D105" s="3"/>
      <c r="E105" s="3"/>
      <c r="F105" s="3"/>
      <c r="AN105" s="36" t="str">
        <f ca="1">IFERROR(MATCH(A105,OFFSET(Grades!$A$1,MATCH(Rates!$B$2,LIST,0),2,1,SUMIF(Grades!$A:$A,Rates!$B$2,Grades!$B:$B)),0),"-")</f>
        <v>-</v>
      </c>
    </row>
    <row r="106" spans="1:40" ht="18.75" customHeight="1" x14ac:dyDescent="0.25">
      <c r="A106" s="9"/>
      <c r="B106" s="8"/>
      <c r="D106" s="3"/>
      <c r="E106" s="3"/>
      <c r="F106" s="3"/>
      <c r="AN106" s="36" t="str">
        <f ca="1">IFERROR(MATCH(A106,OFFSET(Grades!$A$1,MATCH(Rates!$B$2,LIST,0),2,1,SUMIF(Grades!$A:$A,Rates!$B$2,Grades!$B:$B)),0),"-")</f>
        <v>-</v>
      </c>
    </row>
    <row r="107" spans="1:40" ht="18.75" customHeight="1" x14ac:dyDescent="0.25">
      <c r="A107" s="9"/>
      <c r="B107" s="8"/>
      <c r="D107" s="3"/>
      <c r="E107" s="3"/>
      <c r="F107" s="3"/>
      <c r="AN107" s="36" t="str">
        <f ca="1">IFERROR(MATCH(A107,OFFSET(Grades!$A$1,MATCH(Rates!$B$2,LIST,0),2,1,SUMIF(Grades!$A:$A,Rates!$B$2,Grades!$B:$B)),0),"-")</f>
        <v>-</v>
      </c>
    </row>
    <row r="108" spans="1:40" ht="18.75" customHeight="1" x14ac:dyDescent="0.25">
      <c r="A108" s="9"/>
      <c r="B108" s="8"/>
      <c r="D108" s="3"/>
      <c r="E108" s="3"/>
      <c r="F108" s="3"/>
      <c r="AN108" s="36" t="str">
        <f ca="1">IFERROR(MATCH(A108,OFFSET(Grades!$A$1,MATCH(Rates!$B$2,LIST,0),2,1,SUMIF(Grades!$A:$A,Rates!$B$2,Grades!$B:$B)),0),"-")</f>
        <v>-</v>
      </c>
    </row>
    <row r="109" spans="1:40" ht="18.75" customHeight="1" x14ac:dyDescent="0.25">
      <c r="A109" s="9"/>
      <c r="B109" s="8"/>
      <c r="D109" s="3"/>
      <c r="E109" s="3"/>
      <c r="F109" s="3"/>
      <c r="AN109" s="36" t="str">
        <f ca="1">IFERROR(MATCH(A109,OFFSET(Grades!$A$1,MATCH(Rates!$B$2,LIST,0),2,1,SUMIF(Grades!$A:$A,Rates!$B$2,Grades!$B:$B)),0),"-")</f>
        <v>-</v>
      </c>
    </row>
    <row r="110" spans="1:40" ht="18.75" customHeight="1" x14ac:dyDescent="0.25">
      <c r="A110" s="9"/>
      <c r="B110" s="8"/>
      <c r="D110" s="3"/>
      <c r="E110" s="3"/>
      <c r="F110" s="3"/>
      <c r="AN110" s="36" t="str">
        <f ca="1">IFERROR(MATCH(A110,OFFSET(Grades!$A$1,MATCH(Rates!$B$2,LIST,0),2,1,SUMIF(Grades!$A:$A,Rates!$B$2,Grades!$B:$B)),0),"-")</f>
        <v>-</v>
      </c>
    </row>
    <row r="111" spans="1:40" ht="18.75" customHeight="1" x14ac:dyDescent="0.25">
      <c r="A111" s="9"/>
      <c r="B111" s="8"/>
      <c r="D111" s="3"/>
      <c r="E111" s="3"/>
      <c r="F111" s="3"/>
      <c r="AN111" s="36" t="str">
        <f ca="1">IFERROR(MATCH(A111,OFFSET(Grades!$A$1,MATCH(Rates!$B$2,LIST,0),2,1,SUMIF(Grades!$A:$A,Rates!$B$2,Grades!$B:$B)),0),"-")</f>
        <v>-</v>
      </c>
    </row>
    <row r="112" spans="1:40" ht="18.75" customHeight="1" x14ac:dyDescent="0.25">
      <c r="A112" s="9"/>
      <c r="B112" s="8"/>
      <c r="D112" s="3"/>
      <c r="E112" s="3"/>
      <c r="F112" s="3"/>
      <c r="AN112" s="36" t="str">
        <f ca="1">IFERROR(MATCH(A112,OFFSET(Grades!$A$1,MATCH(Rates!$B$2,LIST,0),2,1,SUMIF(Grades!$A:$A,Rates!$B$2,Grades!$B:$B)),0),"-")</f>
        <v>-</v>
      </c>
    </row>
    <row r="113" spans="1:40" ht="18.75" customHeight="1" x14ac:dyDescent="0.25">
      <c r="A113" s="9"/>
      <c r="B113" s="8"/>
      <c r="D113" s="3"/>
      <c r="E113" s="3"/>
      <c r="F113" s="3"/>
      <c r="AN113" s="36" t="str">
        <f ca="1">IFERROR(MATCH(A113,OFFSET(Grades!$A$1,MATCH(Rates!$B$2,LIST,0),2,1,SUMIF(Grades!$A:$A,Rates!$B$2,Grades!$B:$B)),0),"-")</f>
        <v>-</v>
      </c>
    </row>
    <row r="114" spans="1:40" ht="18.75" customHeight="1" x14ac:dyDescent="0.25">
      <c r="A114" s="9"/>
      <c r="B114" s="8"/>
      <c r="D114" s="3"/>
      <c r="E114" s="3"/>
      <c r="F114" s="3"/>
      <c r="AN114" s="36" t="str">
        <f ca="1">IFERROR(MATCH(A114,OFFSET(Grades!$A$1,MATCH(Rates!$B$2,LIST,0),2,1,SUMIF(Grades!$A:$A,Rates!$B$2,Grades!$B:$B)),0),"-")</f>
        <v>-</v>
      </c>
    </row>
    <row r="115" spans="1:40" ht="18.75" customHeight="1" x14ac:dyDescent="0.25">
      <c r="A115" s="9"/>
      <c r="B115" s="8"/>
      <c r="D115" s="3"/>
      <c r="E115" s="3"/>
      <c r="F115" s="3"/>
      <c r="AN115" s="36" t="str">
        <f ca="1">IFERROR(MATCH(A115,OFFSET(Grades!$A$1,MATCH(Rates!$B$2,LIST,0),2,1,SUMIF(Grades!$A:$A,Rates!$B$2,Grades!$B:$B)),0),"-")</f>
        <v>-</v>
      </c>
    </row>
    <row r="116" spans="1:40" ht="18.75" customHeight="1" x14ac:dyDescent="0.25">
      <c r="A116" s="9"/>
      <c r="B116" s="8"/>
      <c r="D116" s="3"/>
      <c r="E116" s="3"/>
      <c r="F116" s="3"/>
      <c r="AN116" s="36" t="str">
        <f ca="1">IFERROR(MATCH(A116,OFFSET(Grades!$A$1,MATCH(Rates!$B$2,LIST,0),2,1,SUMIF(Grades!$A:$A,Rates!$B$2,Grades!$B:$B)),0),"-")</f>
        <v>-</v>
      </c>
    </row>
    <row r="117" spans="1:40" ht="18.75" customHeight="1" x14ac:dyDescent="0.25">
      <c r="A117" s="9"/>
      <c r="B117" s="8"/>
      <c r="D117" s="3"/>
      <c r="E117" s="3"/>
      <c r="F117" s="3"/>
      <c r="AN117" s="36" t="str">
        <f ca="1">IFERROR(MATCH(A117,OFFSET(Grades!$A$1,MATCH(Rates!$B$2,LIST,0),2,1,SUMIF(Grades!$A:$A,Rates!$B$2,Grades!$B:$B)),0),"-")</f>
        <v>-</v>
      </c>
    </row>
    <row r="118" spans="1:40" ht="18.75" customHeight="1" x14ac:dyDescent="0.25">
      <c r="A118" s="9"/>
      <c r="B118" s="8"/>
      <c r="D118" s="3"/>
      <c r="E118" s="3"/>
      <c r="F118" s="3"/>
      <c r="AN118" s="36" t="str">
        <f ca="1">IFERROR(MATCH(A118,OFFSET(Grades!$A$1,MATCH(Rates!$B$2,LIST,0),2,1,SUMIF(Grades!$A:$A,Rates!$B$2,Grades!$B:$B)),0),"-")</f>
        <v>-</v>
      </c>
    </row>
    <row r="119" spans="1:40" ht="18.75" customHeight="1" x14ac:dyDescent="0.25">
      <c r="A119" s="9"/>
      <c r="B119" s="8"/>
      <c r="D119" s="3"/>
      <c r="E119" s="3"/>
      <c r="F119" s="3"/>
      <c r="AN119" s="36" t="str">
        <f ca="1">IFERROR(MATCH(A119,OFFSET(Grades!$A$1,MATCH(Rates!$B$2,LIST,0),2,1,SUMIF(Grades!$A:$A,Rates!$B$2,Grades!$B:$B)),0),"-")</f>
        <v>-</v>
      </c>
    </row>
    <row r="120" spans="1:40" ht="18.75" customHeight="1" x14ac:dyDescent="0.25">
      <c r="A120" s="9"/>
      <c r="B120" s="8"/>
      <c r="D120" s="3"/>
      <c r="E120" s="3"/>
      <c r="F120" s="3"/>
      <c r="AN120" s="36" t="str">
        <f ca="1">IFERROR(MATCH(A120,OFFSET(Grades!$A$1,MATCH(Rates!$B$2,LIST,0),2,1,SUMIF(Grades!$A:$A,Rates!$B$2,Grades!$B:$B)),0),"-")</f>
        <v>-</v>
      </c>
    </row>
    <row r="121" spans="1:40" ht="18.75" customHeight="1" x14ac:dyDescent="0.25">
      <c r="A121" s="9"/>
      <c r="B121" s="8"/>
      <c r="D121" s="3"/>
      <c r="E121" s="3"/>
      <c r="F121" s="3"/>
      <c r="AN121" s="36" t="str">
        <f ca="1">IFERROR(MATCH(A121,OFFSET(Grades!$A$1,MATCH(Rates!$B$2,LIST,0),2,1,SUMIF(Grades!$A:$A,Rates!$B$2,Grades!$B:$B)),0),"-")</f>
        <v>-</v>
      </c>
    </row>
    <row r="122" spans="1:40" ht="18.75" customHeight="1" x14ac:dyDescent="0.25">
      <c r="A122" s="9"/>
      <c r="B122" s="8"/>
      <c r="D122" s="3"/>
      <c r="E122" s="3"/>
      <c r="F122" s="3"/>
      <c r="AN122" s="36" t="str">
        <f ca="1">IFERROR(MATCH(A122,OFFSET(Grades!$A$1,MATCH(Rates!$B$2,LIST,0),2,1,SUMIF(Grades!$A:$A,Rates!$B$2,Grades!$B:$B)),0),"-")</f>
        <v>-</v>
      </c>
    </row>
    <row r="123" spans="1:40" ht="18.75" customHeight="1" x14ac:dyDescent="0.25">
      <c r="A123" s="9"/>
      <c r="B123" s="8"/>
      <c r="D123" s="3"/>
      <c r="E123" s="3"/>
      <c r="F123" s="3"/>
      <c r="AN123" s="36" t="str">
        <f ca="1">IFERROR(MATCH(A123,OFFSET(Grades!$A$1,MATCH(Rates!$B$2,LIST,0),2,1,SUMIF(Grades!$A:$A,Rates!$B$2,Grades!$B:$B)),0),"-")</f>
        <v>-</v>
      </c>
    </row>
    <row r="124" spans="1:40" ht="18.75" customHeight="1" x14ac:dyDescent="0.25">
      <c r="A124" s="9"/>
      <c r="B124" s="8"/>
      <c r="D124" s="3"/>
      <c r="E124" s="3"/>
      <c r="F124" s="3"/>
      <c r="AN124" s="36" t="str">
        <f ca="1">IFERROR(MATCH(A124,OFFSET(Grades!$A$1,MATCH(Rates!$B$2,LIST,0),2,1,SUMIF(Grades!$A:$A,Rates!$B$2,Grades!$B:$B)),0),"-")</f>
        <v>-</v>
      </c>
    </row>
    <row r="125" spans="1:40" ht="18.75" customHeight="1" x14ac:dyDescent="0.25">
      <c r="A125" s="9"/>
      <c r="B125" s="8"/>
      <c r="D125" s="3"/>
      <c r="E125" s="3"/>
      <c r="F125" s="3"/>
      <c r="AN125" s="36" t="str">
        <f ca="1">IFERROR(MATCH(A125,OFFSET(Grades!$A$1,MATCH(Rates!$B$2,LIST,0),2,1,SUMIF(Grades!$A:$A,Rates!$B$2,Grades!$B:$B)),0),"-")</f>
        <v>-</v>
      </c>
    </row>
    <row r="126" spans="1:40" ht="18.75" customHeight="1" x14ac:dyDescent="0.25">
      <c r="A126" s="9"/>
      <c r="B126" s="8"/>
      <c r="D126" s="3"/>
      <c r="E126" s="3"/>
      <c r="F126" s="3"/>
      <c r="AN126" s="36" t="str">
        <f ca="1">IFERROR(MATCH(A126,OFFSET(Grades!$A$1,MATCH(Rates!$B$2,LIST,0),2,1,SUMIF(Grades!$A:$A,Rates!$B$2,Grades!$B:$B)),0),"-")</f>
        <v>-</v>
      </c>
    </row>
    <row r="127" spans="1:40" ht="18.75" customHeight="1" x14ac:dyDescent="0.25">
      <c r="A127" s="9"/>
      <c r="B127" s="8"/>
      <c r="D127" s="3"/>
      <c r="E127" s="3"/>
      <c r="F127" s="3"/>
      <c r="AN127" s="36" t="str">
        <f ca="1">IFERROR(MATCH(A127,OFFSET(Grades!$A$1,MATCH(Rates!$B$2,LIST,0),2,1,SUMIF(Grades!$A:$A,Rates!$B$2,Grades!$B:$B)),0),"-")</f>
        <v>-</v>
      </c>
    </row>
    <row r="128" spans="1:40" ht="18.75" customHeight="1" x14ac:dyDescent="0.25">
      <c r="A128" s="9"/>
      <c r="B128" s="8"/>
      <c r="D128" s="3"/>
      <c r="E128" s="3"/>
      <c r="F128" s="3"/>
      <c r="AN128" s="36" t="str">
        <f ca="1">IFERROR(MATCH(A128,OFFSET(Grades!$A$1,MATCH(Rates!$B$2,LIST,0),2,1,SUMIF(Grades!$A:$A,Rates!$B$2,Grades!$B:$B)),0),"-")</f>
        <v>-</v>
      </c>
    </row>
    <row r="129" spans="1:40" ht="18.75" customHeight="1" x14ac:dyDescent="0.25">
      <c r="A129" s="9"/>
      <c r="B129" s="8"/>
      <c r="D129" s="3"/>
      <c r="E129" s="3"/>
      <c r="F129" s="3"/>
      <c r="AN129" s="36" t="str">
        <f ca="1">IFERROR(MATCH(A129,OFFSET(Grades!$A$1,MATCH(Rates!$B$2,LIST,0),2,1,SUMIF(Grades!$A:$A,Rates!$B$2,Grades!$B:$B)),0),"-")</f>
        <v>-</v>
      </c>
    </row>
    <row r="130" spans="1:40" ht="18.75" customHeight="1" x14ac:dyDescent="0.25">
      <c r="A130" s="9"/>
      <c r="B130" s="8"/>
      <c r="D130" s="3"/>
      <c r="E130" s="3"/>
      <c r="F130" s="3"/>
      <c r="AN130" s="36" t="str">
        <f ca="1">IFERROR(MATCH(A130,OFFSET(Grades!$A$1,MATCH(Rates!$B$2,LIST,0),2,1,SUMIF(Grades!$A:$A,Rates!$B$2,Grades!$B:$B)),0),"-")</f>
        <v>-</v>
      </c>
    </row>
    <row r="131" spans="1:40" ht="18.75" customHeight="1" x14ac:dyDescent="0.25">
      <c r="A131" s="9"/>
      <c r="B131" s="8"/>
      <c r="D131" s="3"/>
      <c r="E131" s="3"/>
      <c r="F131" s="3"/>
      <c r="AN131" s="36" t="str">
        <f ca="1">IFERROR(MATCH(A131,OFFSET(Grades!$A$1,MATCH(Rates!$B$2,LIST,0),2,1,SUMIF(Grades!$A:$A,Rates!$B$2,Grades!$B:$B)),0),"-")</f>
        <v>-</v>
      </c>
    </row>
    <row r="132" spans="1:40" ht="18.75" customHeight="1" x14ac:dyDescent="0.25">
      <c r="A132" s="9"/>
      <c r="B132" s="8"/>
      <c r="D132" s="3"/>
      <c r="E132" s="3"/>
      <c r="F132" s="3"/>
      <c r="AN132" s="36" t="str">
        <f ca="1">IFERROR(MATCH(A132,OFFSET(Grades!$A$1,MATCH(Rates!$B$2,LIST,0),2,1,SUMIF(Grades!$A:$A,Rates!$B$2,Grades!$B:$B)),0),"-")</f>
        <v>-</v>
      </c>
    </row>
    <row r="133" spans="1:40" ht="18.75" customHeight="1" x14ac:dyDescent="0.25">
      <c r="A133" s="9"/>
      <c r="B133" s="8"/>
      <c r="D133" s="3"/>
      <c r="E133" s="3"/>
      <c r="F133" s="3"/>
      <c r="AN133" s="36" t="str">
        <f ca="1">IFERROR(MATCH(A133,OFFSET(Grades!$A$1,MATCH(Rates!$B$2,LIST,0),2,1,SUMIF(Grades!$A:$A,Rates!$B$2,Grades!$B:$B)),0),"-")</f>
        <v>-</v>
      </c>
    </row>
    <row r="134" spans="1:40" ht="18.75" customHeight="1" x14ac:dyDescent="0.25">
      <c r="A134" s="9"/>
      <c r="B134" s="8"/>
      <c r="D134" s="3"/>
      <c r="E134" s="3"/>
      <c r="F134" s="3"/>
      <c r="AN134" s="36" t="str">
        <f ca="1">IFERROR(MATCH(A134,OFFSET(Grades!$A$1,MATCH(Rates!$B$2,LIST,0),2,1,SUMIF(Grades!$A:$A,Rates!$B$2,Grades!$B:$B)),0),"-")</f>
        <v>-</v>
      </c>
    </row>
    <row r="135" spans="1:40" ht="18.75" customHeight="1" x14ac:dyDescent="0.25">
      <c r="A135" s="9"/>
      <c r="B135" s="8"/>
      <c r="D135" s="3"/>
      <c r="E135" s="3"/>
      <c r="F135" s="3"/>
      <c r="AN135" s="36" t="str">
        <f ca="1">IFERROR(MATCH(A135,OFFSET(Grades!$A$1,MATCH(Rates!$B$2,LIST,0),2,1,SUMIF(Grades!$A:$A,Rates!$B$2,Grades!$B:$B)),0),"-")</f>
        <v>-</v>
      </c>
    </row>
    <row r="136" spans="1:40" ht="18.75" customHeight="1" x14ac:dyDescent="0.25">
      <c r="A136" s="9"/>
      <c r="B136" s="8"/>
      <c r="D136" s="3"/>
      <c r="E136" s="3"/>
      <c r="F136" s="3"/>
      <c r="AN136" s="36" t="str">
        <f ca="1">IFERROR(MATCH(A136,OFFSET(Grades!$A$1,MATCH(Rates!$B$2,LIST,0),2,1,SUMIF(Grades!$A:$A,Rates!$B$2,Grades!$B:$B)),0),"-")</f>
        <v>-</v>
      </c>
    </row>
    <row r="137" spans="1:40" ht="18.75" customHeight="1" x14ac:dyDescent="0.25">
      <c r="A137" s="9"/>
      <c r="B137" s="8"/>
      <c r="D137" s="3"/>
      <c r="E137" s="3"/>
      <c r="F137" s="3"/>
      <c r="AN137" s="36" t="str">
        <f ca="1">IFERROR(MATCH(A137,OFFSET(Grades!$A$1,MATCH(Rates!$B$2,LIST,0),2,1,SUMIF(Grades!$A:$A,Rates!$B$2,Grades!$B:$B)),0),"-")</f>
        <v>-</v>
      </c>
    </row>
    <row r="138" spans="1:40" ht="18.75" customHeight="1" x14ac:dyDescent="0.25">
      <c r="A138" s="9"/>
      <c r="B138" s="8"/>
      <c r="D138" s="3"/>
      <c r="E138" s="3"/>
      <c r="F138" s="3"/>
      <c r="AN138" s="36" t="str">
        <f ca="1">IFERROR(MATCH(A138,OFFSET(Grades!$A$1,MATCH(Rates!$B$2,LIST,0),2,1,SUMIF(Grades!$A:$A,Rates!$B$2,Grades!$B:$B)),0),"-")</f>
        <v>-</v>
      </c>
    </row>
    <row r="139" spans="1:40" ht="18.75" customHeight="1" x14ac:dyDescent="0.25">
      <c r="A139" s="9"/>
      <c r="B139" s="8"/>
      <c r="D139" s="3"/>
      <c r="E139" s="3"/>
      <c r="F139" s="3"/>
      <c r="AN139" s="36" t="str">
        <f ca="1">IFERROR(MATCH(A139,OFFSET(Grades!$A$1,MATCH(Rates!$B$2,LIST,0),2,1,SUMIF(Grades!$A:$A,Rates!$B$2,Grades!$B:$B)),0),"-")</f>
        <v>-</v>
      </c>
    </row>
    <row r="140" spans="1:40" ht="18.75" customHeight="1" x14ac:dyDescent="0.25">
      <c r="A140" s="9"/>
      <c r="B140" s="8"/>
      <c r="D140" s="3"/>
      <c r="E140" s="3"/>
      <c r="F140" s="3"/>
      <c r="AN140" s="36" t="str">
        <f ca="1">IFERROR(MATCH(A140,OFFSET(Grades!$A$1,MATCH(Rates!$B$2,LIST,0),2,1,SUMIF(Grades!$A:$A,Rates!$B$2,Grades!$B:$B)),0),"-")</f>
        <v>-</v>
      </c>
    </row>
    <row r="141" spans="1:40" ht="18.75" customHeight="1" x14ac:dyDescent="0.25">
      <c r="A141" s="9"/>
      <c r="B141" s="8"/>
      <c r="D141" s="3"/>
      <c r="E141" s="3"/>
      <c r="F141" s="3"/>
      <c r="AN141" s="36" t="str">
        <f ca="1">IFERROR(MATCH(A141,OFFSET(Grades!$A$1,MATCH(Rates!$B$2,LIST,0),2,1,SUMIF(Grades!$A:$A,Rates!$B$2,Grades!$B:$B)),0),"-")</f>
        <v>-</v>
      </c>
    </row>
    <row r="142" spans="1:40" ht="18.75" customHeight="1" x14ac:dyDescent="0.25">
      <c r="A142" s="9"/>
      <c r="B142" s="8"/>
      <c r="D142" s="3"/>
      <c r="E142" s="3"/>
      <c r="F142" s="3"/>
      <c r="AN142" s="36" t="str">
        <f ca="1">IFERROR(MATCH(A142,OFFSET(Grades!$A$1,MATCH(Rates!$B$2,LIST,0),2,1,SUMIF(Grades!$A:$A,Rates!$B$2,Grades!$B:$B)),0),"-")</f>
        <v>-</v>
      </c>
    </row>
    <row r="143" spans="1:40" ht="18.75" customHeight="1" x14ac:dyDescent="0.25">
      <c r="A143" s="9"/>
      <c r="B143" s="8"/>
      <c r="D143" s="3"/>
      <c r="E143" s="3"/>
      <c r="F143" s="3"/>
      <c r="AN143" s="36" t="str">
        <f ca="1">IFERROR(MATCH(A143,OFFSET(Grades!$A$1,MATCH(Rates!$B$2,LIST,0),2,1,SUMIF(Grades!$A:$A,Rates!$B$2,Grades!$B:$B)),0),"-")</f>
        <v>-</v>
      </c>
    </row>
    <row r="144" spans="1:40" ht="18.75" customHeight="1" x14ac:dyDescent="0.25">
      <c r="A144" s="9"/>
      <c r="B144" s="8"/>
      <c r="D144" s="3"/>
      <c r="E144" s="3"/>
      <c r="F144" s="3"/>
      <c r="AN144" s="36" t="str">
        <f ca="1">IFERROR(MATCH(A144,OFFSET(Grades!$A$1,MATCH(Rates!$B$2,LIST,0),2,1,SUMIF(Grades!$A:$A,Rates!$B$2,Grades!$B:$B)),0),"-")</f>
        <v>-</v>
      </c>
    </row>
    <row r="145" spans="1:40" ht="18.75" customHeight="1" x14ac:dyDescent="0.25">
      <c r="A145" s="9"/>
      <c r="B145" s="8"/>
      <c r="D145" s="3"/>
      <c r="E145" s="3"/>
      <c r="F145" s="3"/>
      <c r="AN145" s="36" t="str">
        <f ca="1">IFERROR(MATCH(A145,OFFSET(Grades!$A$1,MATCH(Rates!$B$2,LIST,0),2,1,SUMIF(Grades!$A:$A,Rates!$B$2,Grades!$B:$B)),0),"-")</f>
        <v>-</v>
      </c>
    </row>
    <row r="146" spans="1:40" ht="18.75" customHeight="1" x14ac:dyDescent="0.25">
      <c r="A146" s="9"/>
      <c r="B146" s="8"/>
      <c r="D146" s="3"/>
      <c r="E146" s="3"/>
      <c r="F146" s="3"/>
      <c r="AN146" s="36" t="str">
        <f ca="1">IFERROR(MATCH(A146,OFFSET(Grades!$A$1,MATCH(Rates!$B$2,LIST,0),2,1,SUMIF(Grades!$A:$A,Rates!$B$2,Grades!$B:$B)),0),"-")</f>
        <v>-</v>
      </c>
    </row>
    <row r="147" spans="1:40" ht="18.75" customHeight="1" x14ac:dyDescent="0.25">
      <c r="A147" s="9"/>
      <c r="B147" s="8"/>
      <c r="D147" s="3"/>
      <c r="E147" s="3"/>
      <c r="F147" s="3"/>
      <c r="AN147" s="36" t="str">
        <f ca="1">IFERROR(MATCH(A147,OFFSET(Grades!$A$1,MATCH(Rates!$B$2,LIST,0),2,1,SUMIF(Grades!$A:$A,Rates!$B$2,Grades!$B:$B)),0),"-")</f>
        <v>-</v>
      </c>
    </row>
    <row r="148" spans="1:40" ht="18.75" customHeight="1" x14ac:dyDescent="0.25">
      <c r="A148" s="9"/>
      <c r="B148" s="8"/>
      <c r="D148" s="3"/>
      <c r="E148" s="3"/>
      <c r="F148" s="3"/>
      <c r="AN148" s="36" t="str">
        <f ca="1">IFERROR(MATCH(A148,OFFSET(Grades!$A$1,MATCH(Rates!$B$2,LIST,0),2,1,SUMIF(Grades!$A:$A,Rates!$B$2,Grades!$B:$B)),0),"-")</f>
        <v>-</v>
      </c>
    </row>
    <row r="149" spans="1:40" ht="18.75" customHeight="1" x14ac:dyDescent="0.25">
      <c r="A149" s="9"/>
      <c r="B149" s="8"/>
      <c r="D149" s="3"/>
      <c r="E149" s="3"/>
      <c r="F149" s="3"/>
      <c r="AN149" s="36" t="str">
        <f ca="1">IFERROR(MATCH(A149,OFFSET(Grades!$A$1,MATCH(Rates!$B$2,LIST,0),2,1,SUMIF(Grades!$A:$A,Rates!$B$2,Grades!$B:$B)),0),"-")</f>
        <v>-</v>
      </c>
    </row>
    <row r="150" spans="1:40" ht="18.75" customHeight="1" x14ac:dyDescent="0.25">
      <c r="A150" s="9"/>
      <c r="B150" s="8"/>
      <c r="D150" s="3"/>
      <c r="E150" s="3"/>
      <c r="F150" s="3"/>
      <c r="AN150" s="36" t="str">
        <f ca="1">IFERROR(MATCH(A150,OFFSET(Grades!$A$1,MATCH(Rates!$B$2,LIST,0),2,1,SUMIF(Grades!$A:$A,Rates!$B$2,Grades!$B:$B)),0),"-")</f>
        <v>-</v>
      </c>
    </row>
    <row r="151" spans="1:40" ht="18.75" customHeight="1" x14ac:dyDescent="0.25">
      <c r="A151" s="9"/>
      <c r="B151" s="8"/>
      <c r="D151" s="3"/>
      <c r="E151" s="3"/>
      <c r="F151" s="3"/>
      <c r="AN151" s="36" t="str">
        <f ca="1">IFERROR(MATCH(A151,OFFSET(Grades!$A$1,MATCH(Rates!$B$2,LIST,0),2,1,SUMIF(Grades!$A:$A,Rates!$B$2,Grades!$B:$B)),0),"-")</f>
        <v>-</v>
      </c>
    </row>
    <row r="152" spans="1:40" ht="18.75" customHeight="1" x14ac:dyDescent="0.25">
      <c r="A152" s="9"/>
      <c r="B152" s="8"/>
      <c r="D152" s="3"/>
      <c r="E152" s="3"/>
      <c r="F152" s="3"/>
      <c r="AN152" s="36" t="str">
        <f ca="1">IFERROR(MATCH(A152,OFFSET(Grades!$A$1,MATCH(Rates!$B$2,LIST,0),2,1,SUMIF(Grades!$A:$A,Rates!$B$2,Grades!$B:$B)),0),"-")</f>
        <v>-</v>
      </c>
    </row>
    <row r="153" spans="1:40" ht="18.75" customHeight="1" x14ac:dyDescent="0.25">
      <c r="A153" s="9"/>
      <c r="B153" s="8"/>
      <c r="D153" s="3"/>
      <c r="E153" s="3"/>
      <c r="F153" s="3"/>
      <c r="AN153" s="36" t="str">
        <f ca="1">IFERROR(MATCH(A153,OFFSET(Grades!$A$1,MATCH(Rates!$B$2,LIST,0),2,1,SUMIF(Grades!$A:$A,Rates!$B$2,Grades!$B:$B)),0),"-")</f>
        <v>-</v>
      </c>
    </row>
    <row r="154" spans="1:40" ht="18.75" customHeight="1" x14ac:dyDescent="0.25">
      <c r="A154" s="9"/>
      <c r="B154" s="8"/>
      <c r="D154" s="3"/>
      <c r="E154" s="3"/>
      <c r="F154" s="3"/>
      <c r="AN154" s="36" t="str">
        <f ca="1">IFERROR(MATCH(A154,OFFSET(Grades!$A$1,MATCH(Rates!$B$2,LIST,0),2,1,SUMIF(Grades!$A:$A,Rates!$B$2,Grades!$B:$B)),0),"-")</f>
        <v>-</v>
      </c>
    </row>
    <row r="155" spans="1:40" ht="18.75" customHeight="1" x14ac:dyDescent="0.25">
      <c r="A155" s="9"/>
      <c r="B155" s="8"/>
      <c r="D155" s="3"/>
      <c r="E155" s="3"/>
      <c r="F155" s="3"/>
      <c r="AN155" s="36" t="str">
        <f ca="1">IFERROR(MATCH(A155,OFFSET(Grades!$A$1,MATCH(Rates!$B$2,LIST,0),2,1,SUMIF(Grades!$A:$A,Rates!$B$2,Grades!$B:$B)),0),"-")</f>
        <v>-</v>
      </c>
    </row>
    <row r="156" spans="1:40" ht="18.75" customHeight="1" x14ac:dyDescent="0.25">
      <c r="A156" s="9"/>
      <c r="B156" s="8"/>
      <c r="D156" s="3"/>
      <c r="E156" s="3"/>
      <c r="F156" s="3"/>
      <c r="AN156" s="36" t="str">
        <f ca="1">IFERROR(MATCH(A156,OFFSET(Grades!$A$1,MATCH(Rates!$B$2,LIST,0),2,1,SUMIF(Grades!$A:$A,Rates!$B$2,Grades!$B:$B)),0),"-")</f>
        <v>-</v>
      </c>
    </row>
    <row r="157" spans="1:40" ht="18.75" customHeight="1" x14ac:dyDescent="0.25">
      <c r="A157" s="9"/>
      <c r="B157" s="8"/>
      <c r="D157" s="3"/>
      <c r="E157" s="3"/>
      <c r="F157" s="3"/>
      <c r="AN157" s="36" t="str">
        <f ca="1">IFERROR(MATCH(A157,OFFSET(Grades!$A$1,MATCH(Rates!$B$2,LIST,0),2,1,SUMIF(Grades!$A:$A,Rates!$B$2,Grades!$B:$B)),0),"-")</f>
        <v>-</v>
      </c>
    </row>
    <row r="158" spans="1:40" ht="18.75" customHeight="1" x14ac:dyDescent="0.25">
      <c r="A158" s="9"/>
      <c r="B158" s="8"/>
      <c r="D158" s="3"/>
      <c r="E158" s="3"/>
      <c r="F158" s="3"/>
      <c r="AN158" s="36" t="str">
        <f ca="1">IFERROR(MATCH(A158,OFFSET(Grades!$A$1,MATCH(Rates!$B$2,LIST,0),2,1,SUMIF(Grades!$A:$A,Rates!$B$2,Grades!$B:$B)),0),"-")</f>
        <v>-</v>
      </c>
    </row>
    <row r="159" spans="1:40" ht="18.75" customHeight="1" x14ac:dyDescent="0.25">
      <c r="A159" s="9"/>
      <c r="B159" s="8"/>
      <c r="D159" s="3"/>
      <c r="E159" s="3"/>
      <c r="F159" s="3"/>
      <c r="AN159" s="36" t="str">
        <f ca="1">IFERROR(MATCH(A159,OFFSET(Grades!$A$1,MATCH(Rates!$B$2,LIST,0),2,1,SUMIF(Grades!$A:$A,Rates!$B$2,Grades!$B:$B)),0),"-")</f>
        <v>-</v>
      </c>
    </row>
    <row r="160" spans="1:40" ht="18.75" customHeight="1" x14ac:dyDescent="0.25">
      <c r="A160" s="9"/>
      <c r="B160" s="8"/>
      <c r="D160" s="3"/>
      <c r="E160" s="3"/>
      <c r="F160" s="3"/>
      <c r="AN160" s="36" t="str">
        <f ca="1">IFERROR(MATCH(A160,OFFSET(Grades!$A$1,MATCH(Rates!$B$2,LIST,0),2,1,SUMIF(Grades!$A:$A,Rates!$B$2,Grades!$B:$B)),0),"-")</f>
        <v>-</v>
      </c>
    </row>
    <row r="161" spans="1:40" ht="18.75" customHeight="1" x14ac:dyDescent="0.25">
      <c r="A161" s="9"/>
      <c r="B161" s="8"/>
      <c r="D161" s="3"/>
      <c r="E161" s="3"/>
      <c r="F161" s="3"/>
      <c r="AN161" s="36" t="str">
        <f ca="1">IFERROR(MATCH(A161,OFFSET(Grades!$A$1,MATCH(Rates!$B$2,LIST,0),2,1,SUMIF(Grades!$A:$A,Rates!$B$2,Grades!$B:$B)),0),"-")</f>
        <v>-</v>
      </c>
    </row>
    <row r="162" spans="1:40" ht="18.75" customHeight="1" x14ac:dyDescent="0.25">
      <c r="A162" s="9"/>
      <c r="B162" s="8"/>
      <c r="D162" s="3"/>
      <c r="E162" s="3"/>
      <c r="F162" s="3"/>
      <c r="AN162" s="36" t="str">
        <f ca="1">IFERROR(MATCH(A162,OFFSET(Grades!$A$1,MATCH(Rates!$B$2,LIST,0),2,1,SUMIF(Grades!$A:$A,Rates!$B$2,Grades!$B:$B)),0),"-")</f>
        <v>-</v>
      </c>
    </row>
    <row r="163" spans="1:40" ht="18.75" customHeight="1" x14ac:dyDescent="0.25">
      <c r="A163" s="9"/>
      <c r="B163" s="8"/>
      <c r="D163" s="3"/>
      <c r="E163" s="3"/>
      <c r="F163" s="3"/>
      <c r="AN163" s="36" t="str">
        <f ca="1">IFERROR(MATCH(A163,OFFSET(Grades!$A$1,MATCH(Rates!$B$2,LIST,0),2,1,SUMIF(Grades!$A:$A,Rates!$B$2,Grades!$B:$B)),0),"-")</f>
        <v>-</v>
      </c>
    </row>
    <row r="164" spans="1:40" ht="18.75" customHeight="1" x14ac:dyDescent="0.25">
      <c r="A164" s="9"/>
      <c r="B164" s="8"/>
      <c r="D164" s="3"/>
      <c r="E164" s="3"/>
      <c r="F164" s="3"/>
      <c r="AN164" s="36" t="str">
        <f ca="1">IFERROR(MATCH(A164,OFFSET(Grades!$A$1,MATCH(Rates!$B$2,LIST,0),2,1,SUMIF(Grades!$A:$A,Rates!$B$2,Grades!$B:$B)),0),"-")</f>
        <v>-</v>
      </c>
    </row>
    <row r="165" spans="1:40" ht="18.75" customHeight="1" x14ac:dyDescent="0.25">
      <c r="A165" s="9"/>
      <c r="B165" s="8"/>
      <c r="D165" s="3"/>
      <c r="E165" s="3"/>
      <c r="F165" s="3"/>
      <c r="AN165" s="36" t="str">
        <f ca="1">IFERROR(MATCH(A165,OFFSET(Grades!$A$1,MATCH(Rates!$B$2,LIST,0),2,1,SUMIF(Grades!$A:$A,Rates!$B$2,Grades!$B:$B)),0),"-")</f>
        <v>-</v>
      </c>
    </row>
    <row r="166" spans="1:40" ht="18.75" customHeight="1" x14ac:dyDescent="0.25">
      <c r="A166" s="9"/>
      <c r="B166" s="8"/>
      <c r="D166" s="3"/>
      <c r="E166" s="3"/>
      <c r="F166" s="3"/>
      <c r="AN166" s="36" t="str">
        <f ca="1">IFERROR(MATCH(A166,OFFSET(Grades!$A$1,MATCH(Rates!$B$2,LIST,0),2,1,SUMIF(Grades!$A:$A,Rates!$B$2,Grades!$B:$B)),0),"-")</f>
        <v>-</v>
      </c>
    </row>
    <row r="167" spans="1:40" ht="18.75" customHeight="1" x14ac:dyDescent="0.25">
      <c r="A167" s="9"/>
      <c r="B167" s="8"/>
      <c r="D167" s="3"/>
      <c r="E167" s="3"/>
      <c r="F167" s="3"/>
      <c r="AN167" s="36" t="str">
        <f ca="1">IFERROR(MATCH(A167,OFFSET(Grades!$A$1,MATCH(Rates!$B$2,LIST,0),2,1,SUMIF(Grades!$A:$A,Rates!$B$2,Grades!$B:$B)),0),"-")</f>
        <v>-</v>
      </c>
    </row>
    <row r="168" spans="1:40" ht="18.75" customHeight="1" x14ac:dyDescent="0.25">
      <c r="A168" s="9"/>
      <c r="B168" s="8"/>
      <c r="D168" s="3"/>
      <c r="E168" s="3"/>
      <c r="F168" s="3"/>
      <c r="AN168" s="36" t="str">
        <f ca="1">IFERROR(MATCH(A168,OFFSET(Grades!$A$1,MATCH(Rates!$B$2,LIST,0),2,1,SUMIF(Grades!$A:$A,Rates!$B$2,Grades!$B:$B)),0),"-")</f>
        <v>-</v>
      </c>
    </row>
    <row r="169" spans="1:40" ht="18.75" customHeight="1" x14ac:dyDescent="0.25">
      <c r="A169" s="9"/>
      <c r="B169" s="8"/>
      <c r="D169" s="3"/>
      <c r="E169" s="3"/>
      <c r="F169" s="3"/>
      <c r="AN169" s="36" t="str">
        <f ca="1">IFERROR(MATCH(A169,OFFSET(Grades!$A$1,MATCH(Rates!$B$2,LIST,0),2,1,SUMIF(Grades!$A:$A,Rates!$B$2,Grades!$B:$B)),0),"-")</f>
        <v>-</v>
      </c>
    </row>
    <row r="170" spans="1:40" ht="18.75" customHeight="1" x14ac:dyDescent="0.25">
      <c r="A170" s="9"/>
      <c r="B170" s="8"/>
      <c r="D170" s="3"/>
      <c r="E170" s="3"/>
      <c r="F170" s="3"/>
      <c r="AN170" s="36" t="str">
        <f ca="1">IFERROR(MATCH(A170,OFFSET(Grades!$A$1,MATCH(Rates!$B$2,LIST,0),2,1,SUMIF(Grades!$A:$A,Rates!$B$2,Grades!$B:$B)),0),"-")</f>
        <v>-</v>
      </c>
    </row>
    <row r="171" spans="1:40" ht="18.75" customHeight="1" x14ac:dyDescent="0.25">
      <c r="A171" s="9"/>
      <c r="B171" s="8"/>
      <c r="D171" s="3"/>
      <c r="E171" s="3"/>
      <c r="F171" s="3"/>
      <c r="AN171" s="36" t="str">
        <f ca="1">IFERROR(MATCH(A171,OFFSET(Grades!$A$1,MATCH(Rates!$B$2,LIST,0),2,1,SUMIF(Grades!$A:$A,Rates!$B$2,Grades!$B:$B)),0),"-")</f>
        <v>-</v>
      </c>
    </row>
    <row r="172" spans="1:40" ht="18.75" customHeight="1" x14ac:dyDescent="0.25">
      <c r="A172" s="9"/>
      <c r="B172" s="8"/>
      <c r="D172" s="3"/>
      <c r="E172" s="3"/>
      <c r="F172" s="3"/>
      <c r="AN172" s="36" t="str">
        <f ca="1">IFERROR(MATCH(A172,OFFSET(Grades!$A$1,MATCH(Rates!$B$2,LIST,0),2,1,SUMIF(Grades!$A:$A,Rates!$B$2,Grades!$B:$B)),0),"-")</f>
        <v>-</v>
      </c>
    </row>
    <row r="173" spans="1:40" ht="18.75" customHeight="1" x14ac:dyDescent="0.25">
      <c r="A173" s="9"/>
      <c r="B173" s="8"/>
      <c r="D173" s="3"/>
      <c r="E173" s="3"/>
      <c r="F173" s="3"/>
      <c r="AN173" s="36" t="str">
        <f ca="1">IFERROR(MATCH(A173,OFFSET(Grades!$A$1,MATCH(Rates!$B$2,LIST,0),2,1,SUMIF(Grades!$A:$A,Rates!$B$2,Grades!$B:$B)),0),"-")</f>
        <v>-</v>
      </c>
    </row>
    <row r="174" spans="1:40" ht="18.75" customHeight="1" x14ac:dyDescent="0.25">
      <c r="A174" s="9"/>
      <c r="B174" s="8"/>
      <c r="D174" s="3"/>
      <c r="E174" s="3"/>
      <c r="F174" s="3"/>
      <c r="AN174" s="36" t="str">
        <f ca="1">IFERROR(MATCH(A174,OFFSET(Grades!$A$1,MATCH(Rates!$B$2,LIST,0),2,1,SUMIF(Grades!$A:$A,Rates!$B$2,Grades!$B:$B)),0),"-")</f>
        <v>-</v>
      </c>
    </row>
    <row r="175" spans="1:40" ht="18.75" customHeight="1" x14ac:dyDescent="0.25">
      <c r="A175" s="9"/>
      <c r="B175" s="8"/>
      <c r="D175" s="3"/>
      <c r="E175" s="3"/>
      <c r="F175" s="3"/>
      <c r="AN175" s="36" t="str">
        <f ca="1">IFERROR(MATCH(A175,OFFSET(Grades!$A$1,MATCH(Rates!$B$2,LIST,0),2,1,SUMIF(Grades!$A:$A,Rates!$B$2,Grades!$B:$B)),0),"-")</f>
        <v>-</v>
      </c>
    </row>
    <row r="176" spans="1:40" ht="18.75" customHeight="1" x14ac:dyDescent="0.25">
      <c r="A176" s="9"/>
      <c r="B176" s="8"/>
      <c r="D176" s="3"/>
      <c r="E176" s="3"/>
      <c r="F176" s="3"/>
      <c r="AN176" s="36" t="str">
        <f ca="1">IFERROR(MATCH(A176,OFFSET(Grades!$A$1,MATCH(Rates!$B$2,LIST,0),2,1,SUMIF(Grades!$A:$A,Rates!$B$2,Grades!$B:$B)),0),"-")</f>
        <v>-</v>
      </c>
    </row>
    <row r="177" spans="1:40" ht="18.75" customHeight="1" x14ac:dyDescent="0.25">
      <c r="A177" s="9"/>
      <c r="B177" s="8"/>
      <c r="D177" s="3"/>
      <c r="E177" s="3"/>
      <c r="F177" s="3"/>
      <c r="AN177" s="36" t="str">
        <f ca="1">IFERROR(MATCH(A177,OFFSET(Grades!$A$1,MATCH(Rates!$B$2,LIST,0),2,1,SUMIF(Grades!$A:$A,Rates!$B$2,Grades!$B:$B)),0),"-")</f>
        <v>-</v>
      </c>
    </row>
    <row r="178" spans="1:40" ht="18.75" customHeight="1" x14ac:dyDescent="0.25">
      <c r="A178" s="9"/>
      <c r="B178" s="8"/>
      <c r="D178" s="3"/>
      <c r="E178" s="3"/>
      <c r="F178" s="3"/>
      <c r="AN178" s="36" t="str">
        <f ca="1">IFERROR(MATCH(A178,OFFSET(Grades!$A$1,MATCH(Rates!$B$2,LIST,0),2,1,SUMIF(Grades!$A:$A,Rates!$B$2,Grades!$B:$B)),0),"-")</f>
        <v>-</v>
      </c>
    </row>
    <row r="179" spans="1:40" ht="18.75" customHeight="1" x14ac:dyDescent="0.25">
      <c r="A179" s="9"/>
      <c r="B179" s="8"/>
      <c r="D179" s="3"/>
      <c r="E179" s="3"/>
      <c r="F179" s="3"/>
      <c r="AN179" s="36" t="str">
        <f ca="1">IFERROR(MATCH(A179,OFFSET(Grades!$A$1,MATCH(Rates!$B$2,LIST,0),2,1,SUMIF(Grades!$A:$A,Rates!$B$2,Grades!$B:$B)),0),"-")</f>
        <v>-</v>
      </c>
    </row>
    <row r="180" spans="1:40" ht="18.75" customHeight="1" x14ac:dyDescent="0.25">
      <c r="A180" s="9"/>
      <c r="B180" s="8"/>
      <c r="D180" s="3"/>
      <c r="E180" s="3"/>
      <c r="F180" s="3"/>
      <c r="AN180" s="36" t="str">
        <f ca="1">IFERROR(MATCH(A180,OFFSET(Grades!$A$1,MATCH(Rates!$B$2,LIST,0),2,1,SUMIF(Grades!$A:$A,Rates!$B$2,Grades!$B:$B)),0),"-")</f>
        <v>-</v>
      </c>
    </row>
    <row r="181" spans="1:40" ht="18.75" customHeight="1" x14ac:dyDescent="0.25">
      <c r="A181" s="9"/>
      <c r="B181" s="8"/>
      <c r="D181" s="3"/>
      <c r="E181" s="3"/>
      <c r="F181" s="3"/>
      <c r="AN181" s="36" t="str">
        <f ca="1">IFERROR(MATCH(A181,OFFSET(Grades!$A$1,MATCH(Rates!$B$2,LIST,0),2,1,SUMIF(Grades!$A:$A,Rates!$B$2,Grades!$B:$B)),0),"-")</f>
        <v>-</v>
      </c>
    </row>
    <row r="182" spans="1:40" ht="18.75" customHeight="1" x14ac:dyDescent="0.25">
      <c r="A182" s="9"/>
      <c r="B182" s="8"/>
      <c r="D182" s="3"/>
      <c r="E182" s="3"/>
      <c r="F182" s="3"/>
      <c r="AN182" s="36" t="str">
        <f ca="1">IFERROR(MATCH(A182,OFFSET(Grades!$A$1,MATCH(Rates!$B$2,LIST,0),2,1,SUMIF(Grades!$A:$A,Rates!$B$2,Grades!$B:$B)),0),"-")</f>
        <v>-</v>
      </c>
    </row>
    <row r="183" spans="1:40" ht="18.75" customHeight="1" x14ac:dyDescent="0.25">
      <c r="A183" s="9"/>
      <c r="B183" s="8"/>
      <c r="D183" s="3"/>
      <c r="E183" s="3"/>
      <c r="F183" s="3"/>
      <c r="AN183" s="36" t="str">
        <f ca="1">IFERROR(MATCH(A183,OFFSET(Grades!$A$1,MATCH(Rates!$B$2,LIST,0),2,1,SUMIF(Grades!$A:$A,Rates!$B$2,Grades!$B:$B)),0),"-")</f>
        <v>-</v>
      </c>
    </row>
    <row r="184" spans="1:40" ht="18.75" customHeight="1" x14ac:dyDescent="0.25">
      <c r="A184" s="9"/>
      <c r="B184" s="8"/>
      <c r="D184" s="3"/>
      <c r="E184" s="3"/>
      <c r="F184" s="3"/>
      <c r="AN184" s="36" t="str">
        <f ca="1">IFERROR(MATCH(A184,OFFSET(Grades!$A$1,MATCH(Rates!$B$2,LIST,0),2,1,SUMIF(Grades!$A:$A,Rates!$B$2,Grades!$B:$B)),0),"-")</f>
        <v>-</v>
      </c>
    </row>
    <row r="185" spans="1:40" ht="18.75" customHeight="1" x14ac:dyDescent="0.25">
      <c r="A185" s="9"/>
      <c r="B185" s="8"/>
      <c r="D185" s="3"/>
      <c r="E185" s="3"/>
      <c r="F185" s="3"/>
      <c r="AN185" s="36" t="str">
        <f ca="1">IFERROR(MATCH(A185,OFFSET(Grades!$A$1,MATCH(Rates!$B$2,LIST,0),2,1,SUMIF(Grades!$A:$A,Rates!$B$2,Grades!$B:$B)),0),"-")</f>
        <v>-</v>
      </c>
    </row>
    <row r="186" spans="1:40" ht="18.75" customHeight="1" x14ac:dyDescent="0.25">
      <c r="A186" s="9"/>
      <c r="B186" s="8"/>
      <c r="D186" s="3"/>
      <c r="E186" s="3"/>
      <c r="F186" s="3"/>
      <c r="AN186" s="36" t="str">
        <f ca="1">IFERROR(MATCH(A186,OFFSET(Grades!$A$1,MATCH(Rates!$B$2,LIST,0),2,1,SUMIF(Grades!$A:$A,Rates!$B$2,Grades!$B:$B)),0),"-")</f>
        <v>-</v>
      </c>
    </row>
    <row r="187" spans="1:40" ht="18.75" customHeight="1" x14ac:dyDescent="0.25">
      <c r="A187" s="9"/>
      <c r="B187" s="8"/>
      <c r="D187" s="3"/>
      <c r="E187" s="3"/>
      <c r="F187" s="3"/>
      <c r="AN187" s="36" t="str">
        <f ca="1">IFERROR(MATCH(A187,OFFSET(Grades!$A$1,MATCH(Rates!$B$2,LIST,0),2,1,SUMIF(Grades!$A:$A,Rates!$B$2,Grades!$B:$B)),0),"-")</f>
        <v>-</v>
      </c>
    </row>
    <row r="188" spans="1:40" ht="18.75" customHeight="1" x14ac:dyDescent="0.25">
      <c r="A188" s="9"/>
      <c r="B188" s="8"/>
      <c r="D188" s="3"/>
      <c r="E188" s="3"/>
      <c r="F188" s="3"/>
      <c r="AN188" s="36" t="str">
        <f ca="1">IFERROR(MATCH(A188,OFFSET(Grades!$A$1,MATCH(Rates!$B$2,LIST,0),2,1,SUMIF(Grades!$A:$A,Rates!$B$2,Grades!$B:$B)),0),"-")</f>
        <v>-</v>
      </c>
    </row>
    <row r="189" spans="1:40" ht="18.75" customHeight="1" x14ac:dyDescent="0.25">
      <c r="A189" s="9"/>
      <c r="B189" s="8"/>
      <c r="D189" s="3"/>
      <c r="E189" s="3"/>
      <c r="F189" s="3"/>
      <c r="AN189" s="36" t="str">
        <f ca="1">IFERROR(MATCH(A189,OFFSET(Grades!$A$1,MATCH(Rates!$B$2,LIST,0),2,1,SUMIF(Grades!$A:$A,Rates!$B$2,Grades!$B:$B)),0),"-")</f>
        <v>-</v>
      </c>
    </row>
    <row r="190" spans="1:40" ht="18.75" customHeight="1" x14ac:dyDescent="0.25">
      <c r="A190" s="9"/>
      <c r="B190" s="8"/>
      <c r="D190" s="3"/>
      <c r="E190" s="3"/>
      <c r="F190" s="3"/>
      <c r="AN190" s="36" t="str">
        <f ca="1">IFERROR(MATCH(A190,OFFSET(Grades!$A$1,MATCH(Rates!$B$2,LIST,0),2,1,SUMIF(Grades!$A:$A,Rates!$B$2,Grades!$B:$B)),0),"-")</f>
        <v>-</v>
      </c>
    </row>
    <row r="191" spans="1:40" ht="18.75" customHeight="1" x14ac:dyDescent="0.25">
      <c r="A191" s="9"/>
      <c r="B191" s="8"/>
      <c r="D191" s="3"/>
      <c r="E191" s="3"/>
      <c r="F191" s="3"/>
      <c r="AN191" s="36" t="str">
        <f ca="1">IFERROR(MATCH(A191,OFFSET(Grades!$A$1,MATCH(Rates!$B$2,LIST,0),2,1,SUMIF(Grades!$A:$A,Rates!$B$2,Grades!$B:$B)),0),"-")</f>
        <v>-</v>
      </c>
    </row>
    <row r="192" spans="1:40" ht="18.75" customHeight="1" x14ac:dyDescent="0.25">
      <c r="A192" s="9"/>
      <c r="B192" s="8"/>
      <c r="D192" s="3"/>
      <c r="E192" s="3"/>
      <c r="F192" s="3"/>
      <c r="AN192" s="36" t="str">
        <f ca="1">IFERROR(MATCH(A192,OFFSET(Grades!$A$1,MATCH(Rates!$B$2,LIST,0),2,1,SUMIF(Grades!$A:$A,Rates!$B$2,Grades!$B:$B)),0),"-")</f>
        <v>-</v>
      </c>
    </row>
    <row r="193" spans="1:40" ht="18.75" customHeight="1" x14ac:dyDescent="0.25">
      <c r="A193" s="9"/>
      <c r="B193" s="8"/>
      <c r="D193" s="3"/>
      <c r="E193" s="3"/>
      <c r="F193" s="3"/>
      <c r="AN193" s="36" t="str">
        <f ca="1">IFERROR(MATCH(A193,OFFSET(Grades!$A$1,MATCH(Rates!$B$2,LIST,0),2,1,SUMIF(Grades!$A:$A,Rates!$B$2,Grades!$B:$B)),0),"-")</f>
        <v>-</v>
      </c>
    </row>
    <row r="194" spans="1:40" ht="18.75" customHeight="1" x14ac:dyDescent="0.25">
      <c r="A194" s="9"/>
      <c r="B194" s="8"/>
      <c r="D194" s="3"/>
      <c r="E194" s="3"/>
      <c r="F194" s="3"/>
      <c r="AN194" s="36" t="str">
        <f ca="1">IFERROR(MATCH(A194,OFFSET(Grades!$A$1,MATCH(Rates!$B$2,LIST,0),2,1,SUMIF(Grades!$A:$A,Rates!$B$2,Grades!$B:$B)),0),"-")</f>
        <v>-</v>
      </c>
    </row>
    <row r="195" spans="1:40" ht="18.75" customHeight="1" x14ac:dyDescent="0.25">
      <c r="A195" s="9"/>
      <c r="B195" s="8"/>
      <c r="D195" s="3"/>
      <c r="E195" s="3"/>
      <c r="F195" s="3"/>
      <c r="AN195" s="36" t="str">
        <f ca="1">IFERROR(MATCH(A195,OFFSET(Grades!$A$1,MATCH(Rates!$B$2,LIST,0),2,1,SUMIF(Grades!$A:$A,Rates!$B$2,Grades!$B:$B)),0),"-")</f>
        <v>-</v>
      </c>
    </row>
    <row r="196" spans="1:40" ht="18.75" customHeight="1" x14ac:dyDescent="0.25">
      <c r="A196" s="9"/>
      <c r="B196" s="8"/>
      <c r="D196" s="3"/>
      <c r="E196" s="3"/>
      <c r="F196" s="3"/>
      <c r="AN196" s="36" t="str">
        <f ca="1">IFERROR(MATCH(A196,OFFSET(Grades!$A$1,MATCH(Rates!$B$2,LIST,0),2,1,SUMIF(Grades!$A:$A,Rates!$B$2,Grades!$B:$B)),0),"-")</f>
        <v>-</v>
      </c>
    </row>
    <row r="197" spans="1:40" ht="18.75" customHeight="1" x14ac:dyDescent="0.25">
      <c r="A197" s="9"/>
      <c r="B197" s="8"/>
      <c r="D197" s="3"/>
      <c r="E197" s="3"/>
      <c r="F197" s="3"/>
      <c r="AN197" s="36" t="str">
        <f ca="1">IFERROR(MATCH(A197,OFFSET(Grades!$A$1,MATCH(Rates!$B$2,LIST,0),2,1,SUMIF(Grades!$A:$A,Rates!$B$2,Grades!$B:$B)),0),"-")</f>
        <v>-</v>
      </c>
    </row>
    <row r="198" spans="1:40" ht="18.75" customHeight="1" x14ac:dyDescent="0.25">
      <c r="A198" s="9"/>
      <c r="B198" s="8"/>
      <c r="D198" s="3"/>
      <c r="E198" s="3"/>
      <c r="F198" s="3"/>
      <c r="AN198" s="36" t="str">
        <f ca="1">IFERROR(MATCH(A198,OFFSET(Grades!$A$1,MATCH(Rates!$B$2,LIST,0),2,1,SUMIF(Grades!$A:$A,Rates!$B$2,Grades!$B:$B)),0),"-")</f>
        <v>-</v>
      </c>
    </row>
    <row r="199" spans="1:40" ht="18.75" customHeight="1" x14ac:dyDescent="0.25">
      <c r="A199" s="9"/>
      <c r="B199" s="8"/>
      <c r="D199" s="3"/>
      <c r="E199" s="3"/>
      <c r="F199" s="3"/>
      <c r="AN199" s="36" t="str">
        <f ca="1">IFERROR(MATCH(A199,OFFSET(Grades!$A$1,MATCH(Rates!$B$2,LIST,0),2,1,SUMIF(Grades!$A:$A,Rates!$B$2,Grades!$B:$B)),0),"-")</f>
        <v>-</v>
      </c>
    </row>
    <row r="200" spans="1:40" ht="18.75" customHeight="1" x14ac:dyDescent="0.25">
      <c r="A200" s="9"/>
      <c r="B200" s="8"/>
      <c r="D200" s="3"/>
      <c r="E200" s="3"/>
      <c r="F200" s="3"/>
      <c r="AN200" s="36" t="str">
        <f ca="1">IFERROR(MATCH(A200,OFFSET(Grades!$A$1,MATCH(Rates!$B$2,LIST,0),2,1,SUMIF(Grades!$A:$A,Rates!$B$2,Grades!$B:$B)),0),"-")</f>
        <v>-</v>
      </c>
    </row>
    <row r="201" spans="1:40" ht="18.75" customHeight="1" x14ac:dyDescent="0.25">
      <c r="A201" s="9"/>
      <c r="B201" s="8"/>
      <c r="D201" s="3"/>
      <c r="E201" s="3"/>
      <c r="F201" s="3"/>
      <c r="AN201" s="36" t="str">
        <f ca="1">IFERROR(MATCH(A201,OFFSET(Grades!$A$1,MATCH(Rates!$B$2,LIST,0),2,1,SUMIF(Grades!$A:$A,Rates!$B$2,Grades!$B:$B)),0),"-")</f>
        <v>-</v>
      </c>
    </row>
    <row r="202" spans="1:40" ht="18.75" customHeight="1" x14ac:dyDescent="0.25">
      <c r="A202" s="9"/>
      <c r="B202" s="8"/>
      <c r="D202" s="3"/>
      <c r="E202" s="3"/>
      <c r="F202" s="3"/>
      <c r="AN202" s="36" t="str">
        <f ca="1">IFERROR(MATCH(A202,OFFSET(Grades!$A$1,MATCH(Rates!$B$2,LIST,0),2,1,SUMIF(Grades!$A:$A,Rates!$B$2,Grades!$B:$B)),0),"-")</f>
        <v>-</v>
      </c>
    </row>
    <row r="203" spans="1:40" ht="18.75" customHeight="1" x14ac:dyDescent="0.25">
      <c r="A203" s="9"/>
      <c r="B203" s="8"/>
      <c r="D203" s="3"/>
      <c r="E203" s="3"/>
      <c r="F203" s="3"/>
      <c r="AN203" s="36" t="str">
        <f ca="1">IFERROR(MATCH(A203,OFFSET(Grades!$A$1,MATCH(Rates!$B$2,LIST,0),2,1,SUMIF(Grades!$A:$A,Rates!$B$2,Grades!$B:$B)),0),"-")</f>
        <v>-</v>
      </c>
    </row>
    <row r="204" spans="1:40" ht="18.75" customHeight="1" x14ac:dyDescent="0.25">
      <c r="A204" s="9"/>
      <c r="B204" s="8"/>
      <c r="D204" s="3"/>
      <c r="E204" s="3"/>
      <c r="F204" s="3"/>
      <c r="AN204" s="36" t="str">
        <f ca="1">IFERROR(MATCH(A204,OFFSET(Grades!$A$1,MATCH(Rates!$B$2,LIST,0),2,1,SUMIF(Grades!$A:$A,Rates!$B$2,Grades!$B:$B)),0),"-")</f>
        <v>-</v>
      </c>
    </row>
    <row r="205" spans="1:40" ht="18.75" customHeight="1" x14ac:dyDescent="0.25">
      <c r="A205" s="9"/>
      <c r="B205" s="8"/>
      <c r="D205" s="3"/>
      <c r="E205" s="3"/>
      <c r="F205" s="3"/>
      <c r="AN205" s="36" t="str">
        <f ca="1">IFERROR(MATCH(A205,OFFSET(Grades!$A$1,MATCH(Rates!$B$2,LIST,0),2,1,SUMIF(Grades!$A:$A,Rates!$B$2,Grades!$B:$B)),0),"-")</f>
        <v>-</v>
      </c>
    </row>
    <row r="206" spans="1:40" ht="18.75" customHeight="1" x14ac:dyDescent="0.25">
      <c r="A206" s="9"/>
      <c r="B206" s="8"/>
      <c r="D206" s="3"/>
      <c r="E206" s="3"/>
      <c r="F206" s="3"/>
      <c r="AN206" s="36" t="str">
        <f ca="1">IFERROR(MATCH(A206,OFFSET(Grades!$A$1,MATCH(Rates!$B$2,LIST,0),2,1,SUMIF(Grades!$A:$A,Rates!$B$2,Grades!$B:$B)),0),"-")</f>
        <v>-</v>
      </c>
    </row>
    <row r="207" spans="1:40" ht="18.75" customHeight="1" x14ac:dyDescent="0.25">
      <c r="A207" s="9"/>
      <c r="B207" s="8"/>
      <c r="D207" s="3"/>
      <c r="E207" s="3"/>
      <c r="F207" s="3"/>
      <c r="AN207" s="36" t="str">
        <f ca="1">IFERROR(MATCH(A207,OFFSET(Grades!$A$1,MATCH(Rates!$B$2,LIST,0),2,1,SUMIF(Grades!$A:$A,Rates!$B$2,Grades!$B:$B)),0),"-")</f>
        <v>-</v>
      </c>
    </row>
    <row r="208" spans="1:40" ht="18.75" customHeight="1" x14ac:dyDescent="0.25">
      <c r="A208" s="9"/>
      <c r="B208" s="8"/>
      <c r="D208" s="3"/>
      <c r="E208" s="3"/>
      <c r="F208" s="3"/>
      <c r="AN208" s="36" t="str">
        <f ca="1">IFERROR(MATCH(A208,OFFSET(Grades!$A$1,MATCH(Rates!$B$2,LIST,0),2,1,SUMIF(Grades!$A:$A,Rates!$B$2,Grades!$B:$B)),0),"-")</f>
        <v>-</v>
      </c>
    </row>
    <row r="209" spans="1:40" ht="18.75" customHeight="1" x14ac:dyDescent="0.25">
      <c r="A209" s="9"/>
      <c r="B209" s="8"/>
      <c r="D209" s="3"/>
      <c r="E209" s="3"/>
      <c r="F209" s="3"/>
      <c r="AN209" s="36" t="str">
        <f ca="1">IFERROR(MATCH(A209,OFFSET(Grades!$A$1,MATCH(Rates!$B$2,LIST,0),2,1,SUMIF(Grades!$A:$A,Rates!$B$2,Grades!$B:$B)),0),"-")</f>
        <v>-</v>
      </c>
    </row>
    <row r="210" spans="1:40" ht="18.75" customHeight="1" x14ac:dyDescent="0.25">
      <c r="A210" s="9"/>
      <c r="B210" s="8"/>
      <c r="D210" s="3"/>
      <c r="E210" s="3"/>
      <c r="F210" s="3"/>
      <c r="AN210" s="36" t="str">
        <f ca="1">IFERROR(MATCH(A210,OFFSET(Grades!$A$1,MATCH(Rates!$B$2,LIST,0),2,1,SUMIF(Grades!$A:$A,Rates!$B$2,Grades!$B:$B)),0),"-")</f>
        <v>-</v>
      </c>
    </row>
    <row r="211" spans="1:40" ht="18.75" customHeight="1" x14ac:dyDescent="0.25">
      <c r="A211" s="9"/>
      <c r="B211" s="8"/>
      <c r="D211" s="3"/>
      <c r="E211" s="3"/>
      <c r="F211" s="3"/>
      <c r="AN211" s="36" t="str">
        <f ca="1">IFERROR(MATCH(A211,OFFSET(Grades!$A$1,MATCH(Rates!$B$2,LIST,0),2,1,SUMIF(Grades!$A:$A,Rates!$B$2,Grades!$B:$B)),0),"-")</f>
        <v>-</v>
      </c>
    </row>
    <row r="212" spans="1:40" ht="18.75" customHeight="1" x14ac:dyDescent="0.25">
      <c r="A212" s="9"/>
      <c r="B212" s="8"/>
      <c r="D212" s="3"/>
      <c r="E212" s="3"/>
      <c r="F212" s="3"/>
      <c r="AN212" s="36" t="str">
        <f ca="1">IFERROR(MATCH(A212,OFFSET(Grades!$A$1,MATCH(Rates!$B$2,LIST,0),2,1,SUMIF(Grades!$A:$A,Rates!$B$2,Grades!$B:$B)),0),"-")</f>
        <v>-</v>
      </c>
    </row>
    <row r="213" spans="1:40" ht="18.75" customHeight="1" x14ac:dyDescent="0.25">
      <c r="A213" s="9"/>
      <c r="B213" s="8"/>
      <c r="D213" s="3"/>
      <c r="E213" s="3"/>
      <c r="F213" s="3"/>
      <c r="AN213" s="36" t="str">
        <f ca="1">IFERROR(MATCH(A213,OFFSET(Grades!$A$1,MATCH(Rates!$B$2,LIST,0),2,1,SUMIF(Grades!$A:$A,Rates!$B$2,Grades!$B:$B)),0),"-")</f>
        <v>-</v>
      </c>
    </row>
    <row r="214" spans="1:40" ht="18.75" customHeight="1" x14ac:dyDescent="0.25">
      <c r="A214" s="9"/>
      <c r="B214" s="8"/>
      <c r="D214" s="3"/>
      <c r="E214" s="3"/>
      <c r="F214" s="3"/>
      <c r="AN214" s="36" t="str">
        <f ca="1">IFERROR(MATCH(A214,OFFSET(Grades!$A$1,MATCH(Rates!$B$2,LIST,0),2,1,SUMIF(Grades!$A:$A,Rates!$B$2,Grades!$B:$B)),0),"-")</f>
        <v>-</v>
      </c>
    </row>
    <row r="215" spans="1:40" ht="18.75" customHeight="1" x14ac:dyDescent="0.25">
      <c r="A215" s="9"/>
      <c r="B215" s="8"/>
      <c r="D215" s="3"/>
      <c r="E215" s="3"/>
      <c r="F215" s="3"/>
      <c r="AN215" s="36" t="str">
        <f ca="1">IFERROR(MATCH(A215,OFFSET(Grades!$A$1,MATCH(Rates!$B$2,LIST,0),2,1,SUMIF(Grades!$A:$A,Rates!$B$2,Grades!$B:$B)),0),"-")</f>
        <v>-</v>
      </c>
    </row>
    <row r="216" spans="1:40" ht="18.75" customHeight="1" x14ac:dyDescent="0.25">
      <c r="A216" s="9"/>
      <c r="B216" s="8"/>
      <c r="D216" s="3"/>
      <c r="E216" s="3"/>
      <c r="F216" s="3"/>
      <c r="AN216" s="36" t="str">
        <f ca="1">IFERROR(MATCH(A216,OFFSET(Grades!$A$1,MATCH(Rates!$B$2,LIST,0),2,1,SUMIF(Grades!$A:$A,Rates!$B$2,Grades!$B:$B)),0),"-")</f>
        <v>-</v>
      </c>
    </row>
    <row r="217" spans="1:40" ht="18.75" customHeight="1" x14ac:dyDescent="0.25">
      <c r="A217" s="9"/>
      <c r="B217" s="8"/>
      <c r="D217" s="3"/>
      <c r="E217" s="3"/>
      <c r="F217" s="3"/>
      <c r="AN217" s="36" t="str">
        <f ca="1">IFERROR(MATCH(A217,OFFSET(Grades!$A$1,MATCH(Rates!$B$2,LIST,0),2,1,SUMIF(Grades!$A:$A,Rates!$B$2,Grades!$B:$B)),0),"-")</f>
        <v>-</v>
      </c>
    </row>
    <row r="218" spans="1:40" ht="18.75" customHeight="1" x14ac:dyDescent="0.25">
      <c r="A218" s="9"/>
      <c r="B218" s="8"/>
      <c r="D218" s="3"/>
      <c r="E218" s="3"/>
      <c r="F218" s="3"/>
      <c r="AN218" s="36" t="str">
        <f ca="1">IFERROR(MATCH(A218,OFFSET(Grades!$A$1,MATCH(Rates!$B$2,LIST,0),2,1,SUMIF(Grades!$A:$A,Rates!$B$2,Grades!$B:$B)),0),"-")</f>
        <v>-</v>
      </c>
    </row>
    <row r="219" spans="1:40" ht="18.75" customHeight="1" x14ac:dyDescent="0.25">
      <c r="A219" s="9"/>
      <c r="B219" s="8"/>
      <c r="D219" s="3"/>
      <c r="E219" s="3"/>
      <c r="F219" s="3"/>
      <c r="AN219" s="36" t="str">
        <f ca="1">IFERROR(MATCH(A219,OFFSET(Grades!$A$1,MATCH(Rates!$B$2,LIST,0),2,1,SUMIF(Grades!$A:$A,Rates!$B$2,Grades!$B:$B)),0),"-")</f>
        <v>-</v>
      </c>
    </row>
    <row r="220" spans="1:40" ht="18.75" customHeight="1" x14ac:dyDescent="0.25">
      <c r="A220" s="9"/>
      <c r="B220" s="8"/>
      <c r="D220" s="3"/>
      <c r="E220" s="3"/>
      <c r="F220" s="3"/>
      <c r="AN220" s="36" t="str">
        <f ca="1">IFERROR(MATCH(A220,OFFSET(Grades!$A$1,MATCH(Rates!$B$2,LIST,0),2,1,SUMIF(Grades!$A:$A,Rates!$B$2,Grades!$B:$B)),0),"-")</f>
        <v>-</v>
      </c>
    </row>
    <row r="221" spans="1:40" ht="18.75" customHeight="1" x14ac:dyDescent="0.25">
      <c r="A221" s="9"/>
      <c r="B221" s="8"/>
      <c r="D221" s="3"/>
      <c r="E221" s="3"/>
      <c r="F221" s="3"/>
      <c r="AN221" s="36" t="str">
        <f ca="1">IFERROR(MATCH(A221,OFFSET(Grades!$A$1,MATCH(Rates!$B$2,LIST,0),2,1,SUMIF(Grades!$A:$A,Rates!$B$2,Grades!$B:$B)),0),"-")</f>
        <v>-</v>
      </c>
    </row>
    <row r="222" spans="1:40" ht="18.75" customHeight="1" x14ac:dyDescent="0.25">
      <c r="A222" s="9"/>
      <c r="B222" s="8"/>
      <c r="D222" s="3"/>
      <c r="E222" s="3"/>
      <c r="F222" s="3"/>
      <c r="AN222" s="36" t="str">
        <f ca="1">IFERROR(MATCH(A222,OFFSET(Grades!$A$1,MATCH(Rates!$B$2,LIST,0),2,1,SUMIF(Grades!$A:$A,Rates!$B$2,Grades!$B:$B)),0),"-")</f>
        <v>-</v>
      </c>
    </row>
    <row r="223" spans="1:40" ht="18.75" customHeight="1" x14ac:dyDescent="0.25">
      <c r="A223" s="9"/>
      <c r="B223" s="8"/>
      <c r="D223" s="3"/>
      <c r="E223" s="3"/>
      <c r="F223" s="3"/>
      <c r="AN223" s="36" t="str">
        <f ca="1">IFERROR(MATCH(A223,OFFSET(Grades!$A$1,MATCH(Rates!$B$2,LIST,0),2,1,SUMIF(Grades!$A:$A,Rates!$B$2,Grades!$B:$B)),0),"-")</f>
        <v>-</v>
      </c>
    </row>
    <row r="224" spans="1:40" ht="18.75" customHeight="1" x14ac:dyDescent="0.25">
      <c r="A224" s="9"/>
      <c r="B224" s="8"/>
      <c r="D224" s="3"/>
      <c r="E224" s="3"/>
      <c r="F224" s="3"/>
      <c r="AN224" s="36" t="str">
        <f ca="1">IFERROR(MATCH(A224,OFFSET(Grades!$A$1,MATCH(Rates!$B$2,LIST,0),2,1,SUMIF(Grades!$A:$A,Rates!$B$2,Grades!$B:$B)),0),"-")</f>
        <v>-</v>
      </c>
    </row>
    <row r="225" spans="1:40" ht="18.75" customHeight="1" x14ac:dyDescent="0.25">
      <c r="A225" s="9"/>
      <c r="B225" s="8"/>
      <c r="D225" s="3"/>
      <c r="E225" s="3"/>
      <c r="F225" s="3"/>
      <c r="AN225" s="36" t="str">
        <f ca="1">IFERROR(MATCH(A225,OFFSET(Grades!$A$1,MATCH(Rates!$B$2,LIST,0),2,1,SUMIF(Grades!$A:$A,Rates!$B$2,Grades!$B:$B)),0),"-")</f>
        <v>-</v>
      </c>
    </row>
    <row r="226" spans="1:40" ht="18.75" customHeight="1" x14ac:dyDescent="0.25">
      <c r="A226" s="9"/>
      <c r="B226" s="8"/>
      <c r="D226" s="3"/>
      <c r="E226" s="3"/>
      <c r="F226" s="3"/>
      <c r="AN226" s="36" t="str">
        <f ca="1">IFERROR(MATCH(A226,OFFSET(Grades!$A$1,MATCH(Rates!$B$2,LIST,0),2,1,SUMIF(Grades!$A:$A,Rates!$B$2,Grades!$B:$B)),0),"-")</f>
        <v>-</v>
      </c>
    </row>
    <row r="227" spans="1:40" ht="18.75" customHeight="1" x14ac:dyDescent="0.25">
      <c r="A227" s="9"/>
      <c r="B227" s="8"/>
      <c r="D227" s="3"/>
      <c r="E227" s="3"/>
      <c r="F227" s="3"/>
      <c r="AN227" s="36" t="str">
        <f ca="1">IFERROR(MATCH(A227,OFFSET(Grades!$A$1,MATCH(Rates!$B$2,LIST,0),2,1,SUMIF(Grades!$A:$A,Rates!$B$2,Grades!$B:$B)),0),"-")</f>
        <v>-</v>
      </c>
    </row>
    <row r="228" spans="1:40" ht="18.75" customHeight="1" x14ac:dyDescent="0.25">
      <c r="A228" s="9"/>
      <c r="B228" s="8"/>
      <c r="D228" s="3"/>
      <c r="E228" s="3"/>
      <c r="F228" s="3"/>
      <c r="AN228" s="36" t="str">
        <f ca="1">IFERROR(MATCH(A228,OFFSET(Grades!$A$1,MATCH(Rates!$B$2,LIST,0),2,1,SUMIF(Grades!$A:$A,Rates!$B$2,Grades!$B:$B)),0),"-")</f>
        <v>-</v>
      </c>
    </row>
    <row r="229" spans="1:40" ht="18.75" customHeight="1" x14ac:dyDescent="0.25">
      <c r="A229" s="9"/>
      <c r="B229" s="8"/>
      <c r="D229" s="3"/>
      <c r="E229" s="3"/>
      <c r="F229" s="3"/>
      <c r="AN229" s="36" t="str">
        <f ca="1">IFERROR(MATCH(A229,OFFSET(Grades!$A$1,MATCH(Rates!$B$2,LIST,0),2,1,SUMIF(Grades!$A:$A,Rates!$B$2,Grades!$B:$B)),0),"-")</f>
        <v>-</v>
      </c>
    </row>
    <row r="230" spans="1:40" ht="18.75" customHeight="1" x14ac:dyDescent="0.25">
      <c r="A230" s="9"/>
      <c r="B230" s="8"/>
      <c r="D230" s="3"/>
      <c r="E230" s="3"/>
      <c r="F230" s="3"/>
      <c r="AN230" s="36" t="str">
        <f ca="1">IFERROR(MATCH(A230,OFFSET(Grades!$A$1,MATCH(Rates!$B$2,LIST,0),2,1,SUMIF(Grades!$A:$A,Rates!$B$2,Grades!$B:$B)),0),"-")</f>
        <v>-</v>
      </c>
    </row>
    <row r="231" spans="1:40" ht="18.75" customHeight="1" x14ac:dyDescent="0.25">
      <c r="A231" s="9"/>
      <c r="B231" s="8"/>
      <c r="D231" s="3"/>
      <c r="E231" s="3"/>
      <c r="F231" s="3"/>
      <c r="AN231" s="36" t="str">
        <f ca="1">IFERROR(MATCH(A231,OFFSET(Grades!$A$1,MATCH(Rates!$B$2,LIST,0),2,1,SUMIF(Grades!$A:$A,Rates!$B$2,Grades!$B:$B)),0),"-")</f>
        <v>-</v>
      </c>
    </row>
    <row r="232" spans="1:40" ht="18.75" customHeight="1" x14ac:dyDescent="0.25">
      <c r="A232" s="9"/>
      <c r="B232" s="8"/>
      <c r="D232" s="3"/>
      <c r="E232" s="3"/>
      <c r="F232" s="3"/>
      <c r="AN232" s="36" t="str">
        <f ca="1">IFERROR(MATCH(A232,OFFSET(Grades!$A$1,MATCH(Rates!$B$2,LIST,0),2,1,SUMIF(Grades!$A:$A,Rates!$B$2,Grades!$B:$B)),0),"-")</f>
        <v>-</v>
      </c>
    </row>
    <row r="233" spans="1:40" ht="18.75" customHeight="1" x14ac:dyDescent="0.25">
      <c r="A233" s="9"/>
      <c r="B233" s="8"/>
      <c r="D233" s="3"/>
      <c r="E233" s="3"/>
      <c r="F233" s="3"/>
      <c r="AN233" s="36" t="str">
        <f ca="1">IFERROR(MATCH(A233,OFFSET(Grades!$A$1,MATCH(Rates!$B$2,LIST,0),2,1,SUMIF(Grades!$A:$A,Rates!$B$2,Grades!$B:$B)),0),"-")</f>
        <v>-</v>
      </c>
    </row>
    <row r="234" spans="1:40" ht="18.75" customHeight="1" x14ac:dyDescent="0.25">
      <c r="A234" s="9"/>
      <c r="B234" s="8"/>
      <c r="D234" s="3"/>
      <c r="E234" s="3"/>
      <c r="F234" s="3"/>
      <c r="AN234" s="36" t="str">
        <f ca="1">IFERROR(MATCH(A234,OFFSET(Grades!$A$1,MATCH(Rates!$B$2,LIST,0),2,1,SUMIF(Grades!$A:$A,Rates!$B$2,Grades!$B:$B)),0),"-")</f>
        <v>-</v>
      </c>
    </row>
    <row r="235" spans="1:40" ht="18.75" customHeight="1" x14ac:dyDescent="0.25">
      <c r="A235" s="9"/>
      <c r="B235" s="8"/>
      <c r="D235" s="3"/>
      <c r="E235" s="3"/>
      <c r="F235" s="3"/>
      <c r="AN235" s="36" t="str">
        <f ca="1">IFERROR(MATCH(A235,OFFSET(Grades!$A$1,MATCH(Rates!$B$2,LIST,0),2,1,SUMIF(Grades!$A:$A,Rates!$B$2,Grades!$B:$B)),0),"-")</f>
        <v>-</v>
      </c>
    </row>
    <row r="236" spans="1:40" ht="18.75" customHeight="1" x14ac:dyDescent="0.25">
      <c r="A236" s="9"/>
      <c r="B236" s="8"/>
      <c r="D236" s="3"/>
      <c r="E236" s="3"/>
      <c r="F236" s="3"/>
      <c r="AN236" s="36" t="str">
        <f ca="1">IFERROR(MATCH(A236,OFFSET(Grades!$A$1,MATCH(Rates!$B$2,LIST,0),2,1,SUMIF(Grades!$A:$A,Rates!$B$2,Grades!$B:$B)),0),"-")</f>
        <v>-</v>
      </c>
    </row>
    <row r="237" spans="1:40" ht="18.75" customHeight="1" x14ac:dyDescent="0.25">
      <c r="A237" s="9"/>
      <c r="B237" s="8"/>
      <c r="D237" s="3"/>
      <c r="E237" s="3"/>
      <c r="F237" s="3"/>
      <c r="AN237" s="36" t="str">
        <f ca="1">IFERROR(MATCH(A237,OFFSET(Grades!$A$1,MATCH(Rates!$B$2,LIST,0),2,1,SUMIF(Grades!$A:$A,Rates!$B$2,Grades!$B:$B)),0),"-")</f>
        <v>-</v>
      </c>
    </row>
    <row r="238" spans="1:40" ht="18.75" customHeight="1" x14ac:dyDescent="0.25">
      <c r="A238" s="9"/>
      <c r="B238" s="8"/>
      <c r="D238" s="3"/>
      <c r="E238" s="3"/>
      <c r="F238" s="3"/>
      <c r="AN238" s="36" t="str">
        <f ca="1">IFERROR(MATCH(A238,OFFSET(Grades!$A$1,MATCH(Rates!$B$2,LIST,0),2,1,SUMIF(Grades!$A:$A,Rates!$B$2,Grades!$B:$B)),0),"-")</f>
        <v>-</v>
      </c>
    </row>
    <row r="239" spans="1:40" ht="18.75" customHeight="1" x14ac:dyDescent="0.25">
      <c r="A239" s="9"/>
      <c r="B239" s="8"/>
      <c r="D239" s="3"/>
      <c r="E239" s="3"/>
      <c r="F239" s="3"/>
      <c r="AN239" s="36" t="str">
        <f ca="1">IFERROR(MATCH(A239,OFFSET(Grades!$A$1,MATCH(Rates!$B$2,LIST,0),2,1,SUMIF(Grades!$A:$A,Rates!$B$2,Grades!$B:$B)),0),"-")</f>
        <v>-</v>
      </c>
    </row>
    <row r="240" spans="1:40" ht="18.75" customHeight="1" x14ac:dyDescent="0.25">
      <c r="A240" s="9"/>
      <c r="B240" s="8"/>
      <c r="D240" s="3"/>
      <c r="E240" s="3"/>
      <c r="F240" s="3"/>
      <c r="AN240" s="36" t="str">
        <f ca="1">IFERROR(MATCH(A240,OFFSET(Grades!$A$1,MATCH(Rates!$B$2,LIST,0),2,1,SUMIF(Grades!$A:$A,Rates!$B$2,Grades!$B:$B)),0),"-")</f>
        <v>-</v>
      </c>
    </row>
    <row r="241" spans="1:40" ht="18.75" customHeight="1" x14ac:dyDescent="0.25">
      <c r="A241" s="9"/>
      <c r="B241" s="8"/>
      <c r="D241" s="3"/>
      <c r="E241" s="3"/>
      <c r="F241" s="3"/>
      <c r="AN241" s="36" t="str">
        <f ca="1">IFERROR(MATCH(A241,OFFSET(Grades!$A$1,MATCH(Rates!$B$2,LIST,0),2,1,SUMIF(Grades!$A:$A,Rates!$B$2,Grades!$B:$B)),0),"-")</f>
        <v>-</v>
      </c>
    </row>
    <row r="242" spans="1:40" ht="18.75" customHeight="1" x14ac:dyDescent="0.25">
      <c r="A242" s="9"/>
      <c r="B242" s="8"/>
      <c r="D242" s="3"/>
      <c r="E242" s="3"/>
      <c r="F242" s="3"/>
      <c r="AN242" s="36" t="str">
        <f ca="1">IFERROR(MATCH(A242,OFFSET(Grades!$A$1,MATCH(Rates!$B$2,LIST,0),2,1,SUMIF(Grades!$A:$A,Rates!$B$2,Grades!$B:$B)),0),"-")</f>
        <v>-</v>
      </c>
    </row>
    <row r="243" spans="1:40" ht="18.75" customHeight="1" x14ac:dyDescent="0.25">
      <c r="A243" s="9"/>
      <c r="B243" s="8"/>
      <c r="D243" s="3"/>
      <c r="E243" s="3"/>
      <c r="F243" s="3"/>
      <c r="AN243" s="36" t="str">
        <f ca="1">IFERROR(MATCH(A243,OFFSET(Grades!$A$1,MATCH(Rates!$B$2,LIST,0),2,1,SUMIF(Grades!$A:$A,Rates!$B$2,Grades!$B:$B)),0),"-")</f>
        <v>-</v>
      </c>
    </row>
    <row r="244" spans="1:40" ht="18.75" customHeight="1" x14ac:dyDescent="0.25">
      <c r="A244" s="9"/>
      <c r="B244" s="8"/>
      <c r="D244" s="3"/>
      <c r="E244" s="3"/>
      <c r="F244" s="3"/>
      <c r="AN244" s="36" t="str">
        <f ca="1">IFERROR(MATCH(A244,OFFSET(Grades!$A$1,MATCH(Rates!$B$2,LIST,0),2,1,SUMIF(Grades!$A:$A,Rates!$B$2,Grades!$B:$B)),0),"-")</f>
        <v>-</v>
      </c>
    </row>
    <row r="245" spans="1:40" ht="18.75" customHeight="1" x14ac:dyDescent="0.25">
      <c r="A245" s="9"/>
      <c r="B245" s="8"/>
      <c r="D245" s="3"/>
      <c r="E245" s="3"/>
      <c r="F245" s="3"/>
      <c r="AN245" s="36" t="str">
        <f ca="1">IFERROR(MATCH(A245,OFFSET(Grades!$A$1,MATCH(Rates!$B$2,LIST,0),2,1,SUMIF(Grades!$A:$A,Rates!$B$2,Grades!$B:$B)),0),"-")</f>
        <v>-</v>
      </c>
    </row>
    <row r="246" spans="1:40" ht="18.75" customHeight="1" x14ac:dyDescent="0.25">
      <c r="A246" s="9"/>
      <c r="B246" s="8"/>
      <c r="D246" s="3"/>
      <c r="E246" s="3"/>
      <c r="F246" s="3"/>
      <c r="AN246" s="36" t="str">
        <f ca="1">IFERROR(MATCH(A246,OFFSET(Grades!$A$1,MATCH(Rates!$B$2,LIST,0),2,1,SUMIF(Grades!$A:$A,Rates!$B$2,Grades!$B:$B)),0),"-")</f>
        <v>-</v>
      </c>
    </row>
    <row r="247" spans="1:40" ht="18.75" customHeight="1" x14ac:dyDescent="0.25">
      <c r="A247" s="9"/>
      <c r="B247" s="8"/>
      <c r="D247" s="3"/>
      <c r="E247" s="3"/>
      <c r="F247" s="3"/>
      <c r="AN247" s="36" t="str">
        <f ca="1">IFERROR(MATCH(A247,OFFSET(Grades!$A$1,MATCH(Rates!$B$2,LIST,0),2,1,SUMIF(Grades!$A:$A,Rates!$B$2,Grades!$B:$B)),0),"-")</f>
        <v>-</v>
      </c>
    </row>
    <row r="248" spans="1:40" ht="18.75" customHeight="1" x14ac:dyDescent="0.25">
      <c r="A248" s="9"/>
      <c r="B248" s="8"/>
      <c r="D248" s="3"/>
      <c r="E248" s="3"/>
      <c r="F248" s="3"/>
      <c r="AN248" s="36" t="str">
        <f ca="1">IFERROR(MATCH(A248,OFFSET(Grades!$A$1,MATCH(Rates!$B$2,LIST,0),2,1,SUMIF(Grades!$A:$A,Rates!$B$2,Grades!$B:$B)),0),"-")</f>
        <v>-</v>
      </c>
    </row>
    <row r="249" spans="1:40" ht="18.75" customHeight="1" x14ac:dyDescent="0.25">
      <c r="A249" s="9"/>
      <c r="B249" s="8"/>
      <c r="D249" s="3"/>
      <c r="E249" s="3"/>
      <c r="F249" s="3"/>
      <c r="AN249" s="36" t="str">
        <f ca="1">IFERROR(MATCH(A249,OFFSET(Grades!$A$1,MATCH(Rates!$B$2,LIST,0),2,1,SUMIF(Grades!$A:$A,Rates!$B$2,Grades!$B:$B)),0),"-")</f>
        <v>-</v>
      </c>
    </row>
    <row r="250" spans="1:40" ht="18.75" customHeight="1" x14ac:dyDescent="0.25">
      <c r="A250" s="9"/>
      <c r="B250" s="8"/>
      <c r="D250" s="3"/>
      <c r="E250" s="3"/>
      <c r="F250" s="3"/>
      <c r="AN250" s="36" t="str">
        <f ca="1">IFERROR(MATCH(A250,OFFSET(Grades!$A$1,MATCH(Rates!$B$2,LIST,0),2,1,SUMIF(Grades!$A:$A,Rates!$B$2,Grades!$B:$B)),0),"-")</f>
        <v>-</v>
      </c>
    </row>
    <row r="251" spans="1:40" ht="18.75" customHeight="1" x14ac:dyDescent="0.25">
      <c r="A251" s="9"/>
      <c r="B251" s="8"/>
      <c r="D251" s="3"/>
      <c r="E251" s="3"/>
      <c r="F251" s="3"/>
      <c r="AN251" s="36" t="str">
        <f ca="1">IFERROR(MATCH(A251,OFFSET(Grades!$A$1,MATCH(Rates!$B$2,LIST,0),2,1,SUMIF(Grades!$A:$A,Rates!$B$2,Grades!$B:$B)),0),"-")</f>
        <v>-</v>
      </c>
    </row>
    <row r="252" spans="1:40" ht="18.75" customHeight="1" x14ac:dyDescent="0.25">
      <c r="A252" s="9"/>
      <c r="B252" s="8"/>
      <c r="D252" s="3"/>
      <c r="E252" s="3"/>
      <c r="F252" s="3"/>
      <c r="AN252" s="36" t="str">
        <f ca="1">IFERROR(MATCH(A252,OFFSET(Grades!$A$1,MATCH(Rates!$B$2,LIST,0),2,1,SUMIF(Grades!$A:$A,Rates!$B$2,Grades!$B:$B)),0),"-")</f>
        <v>-</v>
      </c>
    </row>
    <row r="253" spans="1:40" ht="18.75" customHeight="1" x14ac:dyDescent="0.25">
      <c r="A253" s="9"/>
      <c r="B253" s="8"/>
      <c r="D253" s="3"/>
      <c r="E253" s="3"/>
      <c r="F253" s="3"/>
      <c r="AN253" s="36" t="str">
        <f ca="1">IFERROR(MATCH(A253,OFFSET(Grades!$A$1,MATCH(Rates!$B$2,LIST,0),2,1,SUMIF(Grades!$A:$A,Rates!$B$2,Grades!$B:$B)),0),"-")</f>
        <v>-</v>
      </c>
    </row>
    <row r="254" spans="1:40" ht="18.75" customHeight="1" x14ac:dyDescent="0.25">
      <c r="A254" s="9"/>
      <c r="B254" s="8"/>
      <c r="D254" s="3"/>
      <c r="E254" s="3"/>
      <c r="F254" s="3"/>
      <c r="AN254" s="36" t="str">
        <f ca="1">IFERROR(MATCH(A254,OFFSET(Grades!$A$1,MATCH(Rates!$B$2,LIST,0),2,1,SUMIF(Grades!$A:$A,Rates!$B$2,Grades!$B:$B)),0),"-")</f>
        <v>-</v>
      </c>
    </row>
    <row r="255" spans="1:40" ht="18.75" customHeight="1" x14ac:dyDescent="0.25">
      <c r="A255" s="9"/>
      <c r="B255" s="8"/>
      <c r="D255" s="3"/>
      <c r="E255" s="3"/>
      <c r="F255" s="3"/>
      <c r="AN255" s="36" t="str">
        <f ca="1">IFERROR(MATCH(A255,OFFSET(Grades!$A$1,MATCH(Rates!$B$2,LIST,0),2,1,SUMIF(Grades!$A:$A,Rates!$B$2,Grades!$B:$B)),0),"-")</f>
        <v>-</v>
      </c>
    </row>
    <row r="256" spans="1:40" ht="18.75" customHeight="1" x14ac:dyDescent="0.25">
      <c r="A256" s="9"/>
      <c r="B256" s="8"/>
      <c r="D256" s="3"/>
      <c r="E256" s="3"/>
      <c r="F256" s="3"/>
      <c r="AN256" s="36" t="str">
        <f ca="1">IFERROR(MATCH(A256,OFFSET(Grades!$A$1,MATCH(Rates!$B$2,LIST,0),2,1,SUMIF(Grades!$A:$A,Rates!$B$2,Grades!$B:$B)),0),"-")</f>
        <v>-</v>
      </c>
    </row>
    <row r="257" spans="1:40" ht="18.75" customHeight="1" x14ac:dyDescent="0.25">
      <c r="A257" s="9"/>
      <c r="B257" s="8"/>
      <c r="D257" s="3"/>
      <c r="E257" s="3"/>
      <c r="F257" s="3"/>
      <c r="AN257" s="36" t="str">
        <f ca="1">IFERROR(MATCH(A257,OFFSET(Grades!$A$1,MATCH(Rates!$B$2,LIST,0),2,1,SUMIF(Grades!$A:$A,Rates!$B$2,Grades!$B:$B)),0),"-")</f>
        <v>-</v>
      </c>
    </row>
    <row r="258" spans="1:40" ht="18.75" customHeight="1" x14ac:dyDescent="0.25">
      <c r="A258" s="9"/>
      <c r="B258" s="8"/>
      <c r="D258" s="3"/>
      <c r="E258" s="3"/>
      <c r="F258" s="3"/>
      <c r="AN258" s="36" t="str">
        <f ca="1">IFERROR(MATCH(A258,OFFSET(Grades!$A$1,MATCH(Rates!$B$2,LIST,0),2,1,SUMIF(Grades!$A:$A,Rates!$B$2,Grades!$B:$B)),0),"-")</f>
        <v>-</v>
      </c>
    </row>
    <row r="259" spans="1:40" ht="18.75" customHeight="1" x14ac:dyDescent="0.25">
      <c r="A259" s="9"/>
      <c r="B259" s="8"/>
      <c r="D259" s="3"/>
      <c r="E259" s="3"/>
      <c r="F259" s="3"/>
      <c r="AN259" s="36" t="str">
        <f ca="1">IFERROR(MATCH(A259,OFFSET(Grades!$A$1,MATCH(Rates!$B$2,LIST,0),2,1,SUMIF(Grades!$A:$A,Rates!$B$2,Grades!$B:$B)),0),"-")</f>
        <v>-</v>
      </c>
    </row>
    <row r="260" spans="1:40" ht="18.75" customHeight="1" x14ac:dyDescent="0.25">
      <c r="A260" s="9"/>
      <c r="B260" s="8"/>
      <c r="D260" s="3"/>
      <c r="E260" s="3"/>
      <c r="F260" s="3"/>
      <c r="AN260" s="36" t="str">
        <f ca="1">IFERROR(MATCH(A260,OFFSET(Grades!$A$1,MATCH(Rates!$B$2,LIST,0),2,1,SUMIF(Grades!$A:$A,Rates!$B$2,Grades!$B:$B)),0),"-")</f>
        <v>-</v>
      </c>
    </row>
    <row r="261" spans="1:40" ht="18.75" customHeight="1" x14ac:dyDescent="0.25">
      <c r="A261" s="9"/>
      <c r="B261" s="8"/>
      <c r="D261" s="3"/>
      <c r="E261" s="3"/>
      <c r="F261" s="3"/>
      <c r="AN261" s="36" t="str">
        <f ca="1">IFERROR(MATCH(A261,OFFSET(Grades!$A$1,MATCH(Rates!$B$2,LIST,0),2,1,SUMIF(Grades!$A:$A,Rates!$B$2,Grades!$B:$B)),0),"-")</f>
        <v>-</v>
      </c>
    </row>
    <row r="262" spans="1:40" ht="18.75" customHeight="1" x14ac:dyDescent="0.25">
      <c r="A262" s="9"/>
      <c r="B262" s="8"/>
      <c r="D262" s="3"/>
      <c r="E262" s="3"/>
      <c r="F262" s="3"/>
      <c r="AN262" s="36" t="str">
        <f ca="1">IFERROR(MATCH(A262,OFFSET(Grades!$A$1,MATCH(Rates!$B$2,LIST,0),2,1,SUMIF(Grades!$A:$A,Rates!$B$2,Grades!$B:$B)),0),"-")</f>
        <v>-</v>
      </c>
    </row>
    <row r="263" spans="1:40" ht="18.75" customHeight="1" x14ac:dyDescent="0.25">
      <c r="A263" s="9"/>
      <c r="B263" s="8"/>
      <c r="D263" s="3"/>
      <c r="E263" s="3"/>
      <c r="F263" s="3"/>
      <c r="AN263" s="36" t="str">
        <f ca="1">IFERROR(MATCH(A263,OFFSET(Grades!$A$1,MATCH(Rates!$B$2,LIST,0),2,1,SUMIF(Grades!$A:$A,Rates!$B$2,Grades!$B:$B)),0),"-")</f>
        <v>-</v>
      </c>
    </row>
    <row r="264" spans="1:40" ht="18.75" customHeight="1" x14ac:dyDescent="0.25">
      <c r="A264" s="9"/>
      <c r="B264" s="8"/>
      <c r="D264" s="3"/>
      <c r="E264" s="3"/>
      <c r="F264" s="3"/>
      <c r="AN264" s="36" t="str">
        <f ca="1">IFERROR(MATCH(A264,OFFSET(Grades!$A$1,MATCH(Rates!$B$2,LIST,0),2,1,SUMIF(Grades!$A:$A,Rates!$B$2,Grades!$B:$B)),0),"-")</f>
        <v>-</v>
      </c>
    </row>
    <row r="265" spans="1:40" ht="18.75" customHeight="1" x14ac:dyDescent="0.25">
      <c r="A265" s="9"/>
      <c r="B265" s="8"/>
      <c r="D265" s="3"/>
      <c r="E265" s="3"/>
      <c r="F265" s="3"/>
      <c r="AN265" s="36" t="str">
        <f ca="1">IFERROR(MATCH(A265,OFFSET(Grades!$A$1,MATCH(Rates!$B$2,LIST,0),2,1,SUMIF(Grades!$A:$A,Rates!$B$2,Grades!$B:$B)),0),"-")</f>
        <v>-</v>
      </c>
    </row>
    <row r="266" spans="1:40" ht="18.75" customHeight="1" x14ac:dyDescent="0.25">
      <c r="A266" s="9"/>
      <c r="B266" s="8"/>
      <c r="D266" s="3"/>
      <c r="E266" s="3"/>
      <c r="F266" s="3"/>
      <c r="AN266" s="36" t="str">
        <f ca="1">IFERROR(MATCH(A266,OFFSET(Grades!$A$1,MATCH(Rates!$B$2,LIST,0),2,1,SUMIF(Grades!$A:$A,Rates!$B$2,Grades!$B:$B)),0),"-")</f>
        <v>-</v>
      </c>
    </row>
    <row r="267" spans="1:40" ht="18.75" customHeight="1" x14ac:dyDescent="0.25">
      <c r="A267" s="9"/>
      <c r="B267" s="8"/>
      <c r="D267" s="3"/>
      <c r="E267" s="3"/>
      <c r="F267" s="3"/>
      <c r="AN267" s="36" t="str">
        <f ca="1">IFERROR(MATCH(A267,OFFSET(Grades!$A$1,MATCH(Rates!$B$2,LIST,0),2,1,SUMIF(Grades!$A:$A,Rates!$B$2,Grades!$B:$B)),0),"-")</f>
        <v>-</v>
      </c>
    </row>
    <row r="268" spans="1:40" ht="18.75" customHeight="1" x14ac:dyDescent="0.25">
      <c r="A268" s="9"/>
      <c r="B268" s="8"/>
      <c r="D268" s="3"/>
      <c r="E268" s="3"/>
      <c r="F268" s="3"/>
      <c r="AN268" s="36" t="str">
        <f ca="1">IFERROR(MATCH(A268,OFFSET(Grades!$A$1,MATCH(Rates!$B$2,LIST,0),2,1,SUMIF(Grades!$A:$A,Rates!$B$2,Grades!$B:$B)),0),"-")</f>
        <v>-</v>
      </c>
    </row>
    <row r="269" spans="1:40" ht="18.75" customHeight="1" x14ac:dyDescent="0.25">
      <c r="A269" s="9"/>
      <c r="B269" s="8"/>
      <c r="D269" s="3"/>
      <c r="E269" s="3"/>
      <c r="F269" s="3"/>
      <c r="AN269" s="36" t="str">
        <f ca="1">IFERROR(MATCH(A269,OFFSET(Grades!$A$1,MATCH(Rates!$B$2,LIST,0),2,1,SUMIF(Grades!$A:$A,Rates!$B$2,Grades!$B:$B)),0),"-")</f>
        <v>-</v>
      </c>
    </row>
    <row r="270" spans="1:40" ht="18.75" customHeight="1" x14ac:dyDescent="0.25">
      <c r="A270" s="9"/>
      <c r="B270" s="8"/>
      <c r="D270" s="3"/>
      <c r="E270" s="3"/>
      <c r="F270" s="3"/>
      <c r="AN270" s="36" t="str">
        <f ca="1">IFERROR(MATCH(A270,OFFSET(Grades!$A$1,MATCH(Rates!$B$2,LIST,0),2,1,SUMIF(Grades!$A:$A,Rates!$B$2,Grades!$B:$B)),0),"-")</f>
        <v>-</v>
      </c>
    </row>
    <row r="271" spans="1:40" ht="18.75" customHeight="1" x14ac:dyDescent="0.25">
      <c r="A271" s="9"/>
      <c r="B271" s="8"/>
      <c r="D271" s="3"/>
      <c r="E271" s="3"/>
      <c r="F271" s="3"/>
      <c r="AN271" s="36" t="str">
        <f ca="1">IFERROR(MATCH(A271,OFFSET(Grades!$A$1,MATCH(Rates!$B$2,LIST,0),2,1,SUMIF(Grades!$A:$A,Rates!$B$2,Grades!$B:$B)),0),"-")</f>
        <v>-</v>
      </c>
    </row>
    <row r="272" spans="1:40" ht="18.75" customHeight="1" x14ac:dyDescent="0.25">
      <c r="A272" s="9"/>
      <c r="B272" s="8"/>
      <c r="D272" s="3"/>
      <c r="E272" s="3"/>
      <c r="F272" s="3"/>
      <c r="AN272" s="36" t="str">
        <f ca="1">IFERROR(MATCH(A272,OFFSET(Grades!$A$1,MATCH(Rates!$B$2,LIST,0),2,1,SUMIF(Grades!$A:$A,Rates!$B$2,Grades!$B:$B)),0),"-")</f>
        <v>-</v>
      </c>
    </row>
    <row r="273" spans="1:40" ht="18.75" customHeight="1" x14ac:dyDescent="0.25">
      <c r="A273" s="9"/>
      <c r="B273" s="8"/>
      <c r="D273" s="3"/>
      <c r="E273" s="3"/>
      <c r="F273" s="3"/>
      <c r="AN273" s="36" t="str">
        <f ca="1">IFERROR(MATCH(A273,OFFSET(Grades!$A$1,MATCH(Rates!$B$2,LIST,0),2,1,SUMIF(Grades!$A:$A,Rates!$B$2,Grades!$B:$B)),0),"-")</f>
        <v>-</v>
      </c>
    </row>
    <row r="274" spans="1:40" ht="18.75" customHeight="1" x14ac:dyDescent="0.25">
      <c r="A274" s="9"/>
      <c r="B274" s="8"/>
      <c r="D274" s="3"/>
      <c r="E274" s="3"/>
      <c r="F274" s="3"/>
      <c r="AN274" s="36" t="str">
        <f ca="1">IFERROR(MATCH(A274,OFFSET(Grades!$A$1,MATCH(Rates!$B$2,LIST,0),2,1,SUMIF(Grades!$A:$A,Rates!$B$2,Grades!$B:$B)),0),"-")</f>
        <v>-</v>
      </c>
    </row>
    <row r="275" spans="1:40" ht="18.75" customHeight="1" x14ac:dyDescent="0.25">
      <c r="A275" s="9"/>
      <c r="B275" s="8"/>
      <c r="D275" s="3"/>
      <c r="E275" s="3"/>
      <c r="F275" s="3"/>
      <c r="AN275" s="36" t="str">
        <f ca="1">IFERROR(MATCH(A275,OFFSET(Grades!$A$1,MATCH(Rates!$B$2,LIST,0),2,1,SUMIF(Grades!$A:$A,Rates!$B$2,Grades!$B:$B)),0),"-")</f>
        <v>-</v>
      </c>
    </row>
    <row r="276" spans="1:40" ht="18.75" customHeight="1" x14ac:dyDescent="0.25">
      <c r="A276" s="9"/>
      <c r="B276" s="8"/>
      <c r="D276" s="3"/>
      <c r="E276" s="3"/>
      <c r="F276" s="3"/>
      <c r="AN276" s="36" t="str">
        <f ca="1">IFERROR(MATCH(A276,OFFSET(Grades!$A$1,MATCH(Rates!$B$2,LIST,0),2,1,SUMIF(Grades!$A:$A,Rates!$B$2,Grades!$B:$B)),0),"-")</f>
        <v>-</v>
      </c>
    </row>
    <row r="277" spans="1:40" ht="18.75" customHeight="1" x14ac:dyDescent="0.25">
      <c r="A277" s="9"/>
      <c r="B277" s="8"/>
      <c r="D277" s="3"/>
      <c r="E277" s="3"/>
      <c r="F277" s="3"/>
      <c r="AN277" s="36" t="str">
        <f ca="1">IFERROR(MATCH(A277,OFFSET(Grades!$A$1,MATCH(Rates!$B$2,LIST,0),2,1,SUMIF(Grades!$A:$A,Rates!$B$2,Grades!$B:$B)),0),"-")</f>
        <v>-</v>
      </c>
    </row>
    <row r="278" spans="1:40" ht="18.75" customHeight="1" x14ac:dyDescent="0.25">
      <c r="A278" s="9"/>
      <c r="B278" s="8"/>
      <c r="D278" s="3"/>
      <c r="E278" s="3"/>
      <c r="F278" s="3"/>
      <c r="AN278" s="36" t="str">
        <f ca="1">IFERROR(MATCH(A278,OFFSET(Grades!$A$1,MATCH(Rates!$B$2,LIST,0),2,1,SUMIF(Grades!$A:$A,Rates!$B$2,Grades!$B:$B)),0),"-")</f>
        <v>-</v>
      </c>
    </row>
    <row r="279" spans="1:40" ht="18.75" customHeight="1" x14ac:dyDescent="0.25">
      <c r="A279" s="9"/>
      <c r="B279" s="8"/>
      <c r="D279" s="3"/>
      <c r="E279" s="3"/>
      <c r="F279" s="3"/>
      <c r="AN279" s="36" t="str">
        <f ca="1">IFERROR(MATCH(A279,OFFSET(Grades!$A$1,MATCH(Rates!$B$2,LIST,0),2,1,SUMIF(Grades!$A:$A,Rates!$B$2,Grades!$B:$B)),0),"-")</f>
        <v>-</v>
      </c>
    </row>
    <row r="280" spans="1:40" ht="18.75" customHeight="1" x14ac:dyDescent="0.25">
      <c r="A280" s="9"/>
      <c r="B280" s="8"/>
      <c r="D280" s="3"/>
      <c r="E280" s="3"/>
      <c r="F280" s="3"/>
      <c r="AN280" s="36" t="str">
        <f ca="1">IFERROR(MATCH(A280,OFFSET(Grades!$A$1,MATCH(Rates!$B$2,LIST,0),2,1,SUMIF(Grades!$A:$A,Rates!$B$2,Grades!$B:$B)),0),"-")</f>
        <v>-</v>
      </c>
    </row>
    <row r="281" spans="1:40" ht="18.75" customHeight="1" x14ac:dyDescent="0.25">
      <c r="A281" s="9"/>
      <c r="B281" s="8"/>
      <c r="D281" s="3"/>
      <c r="E281" s="3"/>
      <c r="F281" s="3"/>
      <c r="AN281" s="36" t="str">
        <f ca="1">IFERROR(MATCH(A281,OFFSET(Grades!$A$1,MATCH(Rates!$B$2,LIST,0),2,1,SUMIF(Grades!$A:$A,Rates!$B$2,Grades!$B:$B)),0),"-")</f>
        <v>-</v>
      </c>
    </row>
    <row r="282" spans="1:40" x14ac:dyDescent="0.25">
      <c r="AN282" s="36" t="str">
        <f ca="1">IFERROR(MATCH(A282,OFFSET(Grades!$A$1,MATCH(Rates!$B$2,LIST,0),2,1,SUMIF(Grades!$A:$A,Rates!$B$2,Grades!$B:$B)),0),"-")</f>
        <v>-</v>
      </c>
    </row>
    <row r="283" spans="1:40" x14ac:dyDescent="0.25">
      <c r="AN283" s="36" t="str">
        <f ca="1">IFERROR(MATCH(A283,OFFSET(Grades!$A$1,MATCH(Rates!$B$2,LIST,0),2,1,SUMIF(Grades!$A:$A,Rates!$B$2,Grades!$B:$B)),0),"-")</f>
        <v>-</v>
      </c>
    </row>
    <row r="284" spans="1:40" x14ac:dyDescent="0.25">
      <c r="AN284" s="36" t="str">
        <f ca="1">IFERROR(MATCH(A284,OFFSET(Grades!$A$1,MATCH(Rates!$B$2,LIST,0),2,1,SUMIF(Grades!$A:$A,Rates!$B$2,Grades!$B:$B)),0),"-")</f>
        <v>-</v>
      </c>
    </row>
    <row r="285" spans="1:40" x14ac:dyDescent="0.25">
      <c r="AN285" s="36" t="str">
        <f ca="1">IFERROR(MATCH(A285,OFFSET(Grades!$A$1,MATCH(Rates!$B$2,LIST,0),2,1,SUMIF(Grades!$A:$A,Rates!$B$2,Grades!$B:$B)),0),"-")</f>
        <v>-</v>
      </c>
    </row>
    <row r="286" spans="1:40" x14ac:dyDescent="0.25">
      <c r="AN286" s="36" t="str">
        <f ca="1">IFERROR(MATCH(A286,OFFSET(Grades!$A$1,MATCH(Rates!$B$2,LIST,0),2,1,SUMIF(Grades!$A:$A,Rates!$B$2,Grades!$B:$B)),0),"-")</f>
        <v>-</v>
      </c>
    </row>
  </sheetData>
  <mergeCells count="2">
    <mergeCell ref="D2:E2"/>
    <mergeCell ref="A2:B2"/>
  </mergeCells>
  <conditionalFormatting sqref="B55:B60 E55:F60">
    <cfRule type="expression" dxfId="10" priority="38">
      <formula>$A55=$AE$2</formula>
    </cfRule>
  </conditionalFormatting>
  <dataValidations count="1">
    <dataValidation type="list" showInputMessage="1" showErrorMessage="1" sqref="AK2 AD2 W2" xr:uid="{D209D2AB-7501-4321-980D-D988B05C8F7F}">
      <formula1>"Pre- pay award, Post- pay award"</formula1>
    </dataValidation>
  </dataValidations>
  <printOptions horizontalCentered="1"/>
  <pageMargins left="0.23622047244094491" right="0.23622047244094491" top="0.55118110236220474" bottom="0.39370078740157483" header="0.31496062992125984" footer="0.31496062992125984"/>
  <pageSetup paperSize="9" scale="6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2">
    <tabColor theme="3"/>
  </sheetPr>
  <dimension ref="B2:J19"/>
  <sheetViews>
    <sheetView showGridLines="0" zoomScaleNormal="100" workbookViewId="0">
      <selection activeCell="A9" sqref="A9"/>
    </sheetView>
  </sheetViews>
  <sheetFormatPr defaultColWidth="9.140625" defaultRowHeight="15" x14ac:dyDescent="0.25"/>
  <cols>
    <col min="2" max="2" width="24.42578125" bestFit="1" customWidth="1"/>
    <col min="3" max="3" width="9.140625" style="16" customWidth="1"/>
  </cols>
  <sheetData>
    <row r="2" spans="2:10" x14ac:dyDescent="0.25">
      <c r="B2" s="14" t="s">
        <v>194</v>
      </c>
      <c r="C2" s="95">
        <v>2021</v>
      </c>
      <c r="D2" t="s">
        <v>195</v>
      </c>
    </row>
    <row r="3" spans="2:10" x14ac:dyDescent="0.25">
      <c r="C3" s="22"/>
    </row>
    <row r="4" spans="2:10" x14ac:dyDescent="0.25">
      <c r="B4" s="15" t="s">
        <v>196</v>
      </c>
      <c r="C4" s="94">
        <v>520</v>
      </c>
    </row>
    <row r="5" spans="2:10" x14ac:dyDescent="0.25">
      <c r="B5" s="15" t="s">
        <v>197</v>
      </c>
      <c r="C5" s="95">
        <v>737</v>
      </c>
    </row>
    <row r="6" spans="2:10" x14ac:dyDescent="0.25">
      <c r="B6" s="15" t="s">
        <v>198</v>
      </c>
      <c r="C6" s="95">
        <v>797</v>
      </c>
    </row>
    <row r="7" spans="2:10" x14ac:dyDescent="0.25">
      <c r="B7" s="15" t="s">
        <v>199</v>
      </c>
      <c r="C7" s="95">
        <v>4189</v>
      </c>
    </row>
    <row r="8" spans="2:10" x14ac:dyDescent="0.25">
      <c r="B8" s="15" t="s">
        <v>200</v>
      </c>
      <c r="C8" s="17">
        <v>0</v>
      </c>
    </row>
    <row r="9" spans="2:10" x14ac:dyDescent="0.25">
      <c r="B9" s="15" t="s">
        <v>201</v>
      </c>
      <c r="C9" s="17">
        <v>0.13800000000000001</v>
      </c>
      <c r="D9" s="13"/>
    </row>
    <row r="10" spans="2:10" x14ac:dyDescent="0.25">
      <c r="B10" s="15" t="s">
        <v>202</v>
      </c>
      <c r="C10" s="17">
        <v>0.13800000000000001</v>
      </c>
    </row>
    <row r="12" spans="2:10" x14ac:dyDescent="0.25">
      <c r="B12" s="23" t="s">
        <v>78</v>
      </c>
      <c r="C12" s="26">
        <v>5.0000000000000001E-3</v>
      </c>
    </row>
    <row r="14" spans="2:10" x14ac:dyDescent="0.25">
      <c r="E14" s="14" t="s">
        <v>203</v>
      </c>
      <c r="F14" s="14"/>
      <c r="I14" s="14" t="s">
        <v>73</v>
      </c>
      <c r="J14" s="14"/>
    </row>
    <row r="15" spans="2:10" x14ac:dyDescent="0.25">
      <c r="B15" s="23" t="s">
        <v>25</v>
      </c>
      <c r="C15" s="23">
        <f>IF(Rates!$B$2="","",SUMIF(Grades!$A:$A,Rates!$B$2,Grades!$BI:$BI))</f>
        <v>0</v>
      </c>
      <c r="D15" s="1"/>
      <c r="E15" s="24" t="s">
        <v>204</v>
      </c>
      <c r="F15" s="25">
        <v>0.21099999999999999</v>
      </c>
      <c r="I15" s="24">
        <v>3</v>
      </c>
      <c r="J15" s="25">
        <v>1512</v>
      </c>
    </row>
    <row r="16" spans="2:10" x14ac:dyDescent="0.25">
      <c r="B16" s="24" t="s">
        <v>205</v>
      </c>
      <c r="C16" s="25">
        <v>23</v>
      </c>
      <c r="D16" s="1"/>
      <c r="E16" s="24" t="s">
        <v>206</v>
      </c>
      <c r="F16" s="25">
        <v>0.14299999999999999</v>
      </c>
      <c r="I16" s="24">
        <v>4</v>
      </c>
      <c r="J16" s="25">
        <v>1254</v>
      </c>
    </row>
    <row r="17" spans="2:10" x14ac:dyDescent="0.25">
      <c r="B17" s="23" t="s">
        <v>207</v>
      </c>
      <c r="C17" s="25">
        <v>30</v>
      </c>
      <c r="D17" s="1"/>
      <c r="E17" s="24" t="s">
        <v>208</v>
      </c>
      <c r="F17" s="25">
        <v>0.27900000000000003</v>
      </c>
      <c r="I17" s="24">
        <v>5</v>
      </c>
      <c r="J17" s="25">
        <v>949</v>
      </c>
    </row>
    <row r="18" spans="2:10" x14ac:dyDescent="0.25">
      <c r="B18" s="23" t="s">
        <v>110</v>
      </c>
      <c r="C18" s="23">
        <f>IF(Rates!$B$2="","",SUMIF(Grades!$A:$A,Rates!$B$2,Grades!$BJ:$BJ))</f>
        <v>0</v>
      </c>
      <c r="D18" s="1"/>
      <c r="E18" s="24" t="s">
        <v>209</v>
      </c>
      <c r="F18" s="25">
        <v>0.1</v>
      </c>
      <c r="I18" s="24">
        <v>6</v>
      </c>
      <c r="J18" s="25">
        <v>638</v>
      </c>
    </row>
    <row r="19" spans="2:10" x14ac:dyDescent="0.25">
      <c r="I19" s="24">
        <v>7</v>
      </c>
      <c r="J19" s="25">
        <v>321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673B01-90D9-4D16-B600-BB9274C40A2F}">
  <sheetPr>
    <tabColor theme="3"/>
    <pageSetUpPr fitToPage="1"/>
  </sheetPr>
  <dimension ref="B1:BC301"/>
  <sheetViews>
    <sheetView showGridLines="0" zoomScale="70" zoomScaleNormal="70" workbookViewId="0">
      <selection activeCell="A9" sqref="A9"/>
    </sheetView>
  </sheetViews>
  <sheetFormatPr defaultColWidth="9.140625" defaultRowHeight="18" x14ac:dyDescent="0.25"/>
  <cols>
    <col min="1" max="1" width="2.140625" style="39" customWidth="1"/>
    <col min="2" max="2" width="16.7109375" style="39" customWidth="1"/>
    <col min="3" max="3" width="26.140625" style="39" customWidth="1"/>
    <col min="4" max="4" width="15.28515625" style="39" customWidth="1"/>
    <col min="5" max="5" width="3.7109375" style="39" customWidth="1"/>
    <col min="6" max="6" width="15.5703125" style="39" customWidth="1"/>
    <col min="7" max="7" width="41.42578125" style="39" customWidth="1"/>
    <col min="8" max="9" width="15.5703125" style="39" customWidth="1"/>
    <col min="10" max="10" width="21.28515625" style="39" customWidth="1"/>
    <col min="11" max="11" width="15.5703125" style="39" customWidth="1"/>
    <col min="12" max="12" width="4.85546875" style="39" customWidth="1"/>
    <col min="13" max="16" width="13.140625" style="39" customWidth="1"/>
    <col min="17" max="17" width="14.28515625" style="39" customWidth="1"/>
    <col min="18" max="18" width="9.140625" style="39" customWidth="1"/>
    <col min="19" max="22" width="15.7109375" style="68" customWidth="1"/>
    <col min="23" max="25" width="9.140625" style="69" customWidth="1"/>
    <col min="26" max="26" width="6.140625" style="39" customWidth="1"/>
    <col min="27" max="27" width="11.42578125" style="39" customWidth="1"/>
    <col min="28" max="32" width="6.140625" style="39" customWidth="1"/>
    <col min="33" max="40" width="9.140625" style="69" customWidth="1"/>
    <col min="41" max="41" width="9.140625" style="39" customWidth="1"/>
    <col min="42" max="16384" width="9.140625" style="39"/>
  </cols>
  <sheetData>
    <row r="1" spans="2:41" ht="11.25" customHeight="1" x14ac:dyDescent="0.25">
      <c r="B1" s="70"/>
      <c r="C1" s="58"/>
    </row>
    <row r="2" spans="2:41" ht="61.5" customHeight="1" x14ac:dyDescent="0.25">
      <c r="B2" s="282" t="s">
        <v>126</v>
      </c>
      <c r="C2" s="283"/>
      <c r="F2" s="288" t="str">
        <f>IF(AND(ISBLANK(VLOOKUP($B$2,Grades!$A:$BX,76,FALSE)),Thresholds_Rates!C15&lt;&gt;0),"STANDARD MAXIMUM",IF(AND(ISBLANK(VLOOKUP($B$2,Grades!$A:$BX,76,FALSE)),Thresholds_Rates!C15=0),"",VLOOKUP($B$2,Grades!$A:$BX,76,FALSE)))</f>
        <v/>
      </c>
      <c r="G2" s="285"/>
      <c r="H2" s="285"/>
      <c r="I2" s="285"/>
      <c r="J2" s="285"/>
      <c r="K2" s="285"/>
      <c r="L2" s="71"/>
      <c r="AG2" s="72" t="s">
        <v>69</v>
      </c>
    </row>
    <row r="3" spans="2:41" ht="8.25" customHeight="1" x14ac:dyDescent="0.25">
      <c r="B3" s="71"/>
      <c r="C3" s="71"/>
      <c r="D3" s="71"/>
      <c r="E3" s="71"/>
      <c r="G3" s="71"/>
      <c r="H3" s="71"/>
      <c r="I3" s="71"/>
      <c r="J3" s="71"/>
      <c r="K3" s="71"/>
      <c r="L3" s="71"/>
      <c r="AG3" s="72"/>
    </row>
    <row r="4" spans="2:41" ht="141" customHeight="1" x14ac:dyDescent="0.25">
      <c r="B4" s="289" t="str">
        <f>IF(VLOOKUP($B$2,Grades!$A:$BS,71,0)="Y",'Level 1-6 Scale'!E10,"")</f>
        <v/>
      </c>
      <c r="C4" s="289"/>
      <c r="D4" s="289"/>
      <c r="F4" s="279" t="s">
        <v>210</v>
      </c>
      <c r="G4" s="280"/>
      <c r="H4" s="280"/>
      <c r="I4" s="280"/>
      <c r="J4" s="280"/>
      <c r="K4" s="281"/>
      <c r="M4" s="278" t="s">
        <v>71</v>
      </c>
      <c r="N4" s="278"/>
      <c r="O4" s="278"/>
      <c r="P4" s="278"/>
      <c r="Q4" s="278"/>
      <c r="S4" s="277" t="str">
        <f>IF(OR($B$2="R&amp;T Level 5 - Clinical Lecturers (Vet School)",$B$2="R&amp;T Level 6 - Clinical Associate Professors and Clinical Readers (Vet School)"),"AVA Details","")</f>
        <v/>
      </c>
      <c r="T4" s="277"/>
      <c r="U4" s="277" t="str">
        <f>IF($B$2="R&amp;T Level 5 - Clinical Lecturers (Vet School)","Clinical Supplement
Can earn up to 15%
(Maximum Shown Below)",IF($B$2="R&amp;T Level 6 - Clinical Associate Professors and Clinical Readers (Vet School)","Clinical Supplement
Can earn up to 20%
(Maximum Shown Below)",""))</f>
        <v/>
      </c>
      <c r="V4" s="277"/>
      <c r="X4" s="39"/>
      <c r="AG4" s="72" t="s">
        <v>72</v>
      </c>
    </row>
    <row r="5" spans="2:41" ht="189" customHeight="1" x14ac:dyDescent="0.25">
      <c r="B5" s="149" t="s">
        <v>211</v>
      </c>
      <c r="C5" s="149" t="s">
        <v>211</v>
      </c>
      <c r="D5" s="149" t="s">
        <v>211</v>
      </c>
      <c r="F5" s="150" t="s">
        <v>211</v>
      </c>
      <c r="G5" s="155" t="s">
        <v>212</v>
      </c>
      <c r="H5" s="156"/>
      <c r="I5" s="151" t="s">
        <v>211</v>
      </c>
      <c r="J5" s="151" t="s">
        <v>211</v>
      </c>
      <c r="K5" s="157"/>
      <c r="M5" s="152" t="s">
        <v>211</v>
      </c>
      <c r="N5" s="152" t="s">
        <v>211</v>
      </c>
      <c r="O5" s="152" t="s">
        <v>211</v>
      </c>
      <c r="P5" s="152" t="s">
        <v>211</v>
      </c>
      <c r="Q5" s="152" t="s">
        <v>211</v>
      </c>
      <c r="S5" s="80"/>
      <c r="T5" s="80"/>
      <c r="U5" s="80"/>
      <c r="V5" s="80"/>
      <c r="X5" s="39"/>
      <c r="AG5" s="72"/>
    </row>
    <row r="6" spans="2:41" ht="57" customHeight="1" x14ac:dyDescent="0.25">
      <c r="B6" s="74" t="s">
        <v>57</v>
      </c>
      <c r="C6" s="74" t="str">
        <f>IF(OR($B$2=$AG$2,$B$2=$AG$4),"Salary + AVA
(for further details scroll right)","Salary")</f>
        <v>Salary</v>
      </c>
      <c r="D6" s="75" t="s">
        <v>73</v>
      </c>
      <c r="E6" s="76"/>
      <c r="F6" s="77" t="s">
        <v>74</v>
      </c>
      <c r="G6" s="77" t="s">
        <v>75</v>
      </c>
      <c r="H6" s="77" t="s">
        <v>76</v>
      </c>
      <c r="I6" s="78" t="s">
        <v>77</v>
      </c>
      <c r="J6" s="78" t="s">
        <v>78</v>
      </c>
      <c r="K6" s="77" t="s">
        <v>79</v>
      </c>
      <c r="L6" s="71"/>
      <c r="M6" s="78" t="s">
        <v>80</v>
      </c>
      <c r="N6" s="78" t="s">
        <v>81</v>
      </c>
      <c r="O6" s="78" t="s">
        <v>82</v>
      </c>
      <c r="P6" s="78" t="s">
        <v>83</v>
      </c>
      <c r="Q6" s="79" t="s">
        <v>84</v>
      </c>
      <c r="S6" s="80" t="str">
        <f>IF(OR($B$2="R&amp;T Level 5 - Clinical Lecturers (Vet School)",$B$2="R&amp;T Level 6 - Clinical Associate Professors and Clinical Readers (Vet School)"),"AVA %","")</f>
        <v/>
      </c>
      <c r="T6" s="80" t="str">
        <f>IF(OR($B$2="R&amp;T Level 5 - Clinical Lecturers (Vet School)",$B$2="R&amp;T Level 6 - Clinical Associate Professors and Clinical Readers (Vet School)"),"AVA Amount","")</f>
        <v/>
      </c>
      <c r="U6" s="80" t="str">
        <f>IF(OR($B$2="R&amp;T Level 5 - Clinical Lecturers (Vet School)",$B$2="R&amp;T Level 6 - Clinical Associate Professors and Clinical Readers (Vet School)"),"Clinical Supplement %","")</f>
        <v/>
      </c>
      <c r="V6" s="80" t="str">
        <f>IF(OR($B$2="R&amp;T Level 5 - Clinical Lecturers (Vet School)",$B$2="R&amp;T Level 6 - Clinical Associate Professors and Clinical Readers (Vet School)"),"Clinical Supplement Amount","")</f>
        <v/>
      </c>
      <c r="W6" s="50"/>
      <c r="X6" s="39"/>
      <c r="AO6" s="69"/>
    </row>
    <row r="7" spans="2:41" x14ac:dyDescent="0.25">
      <c r="B7" s="68" t="str">
        <f ca="1">IFERROR(INDEX('Points Lookup'!$A:$A,MATCH($AA7,'Points Lookup'!$AN:$AN,0)),"")</f>
        <v/>
      </c>
      <c r="C7" s="81" t="str">
        <f ca="1">IF(B7="","",SUMIF(INDIRECT("'Points Lookup'!"&amp;VLOOKUP($B$2,Grades!A:BU,72,FALSE)&amp;":"&amp;VLOOKUP($B$2,Grades!A:BU,72,FALSE)),B7,INDIRECT("'Points Lookup'!"&amp;VLOOKUP($B$2,Grades!A:BU,73,FALSE)&amp;":"&amp;VLOOKUP($B$2,Grades!A:BU,73,FALSE))))</f>
        <v/>
      </c>
      <c r="D7" s="82" t="str">
        <f ca="1">IF(B7="","",IF(AND(VLOOKUP($B$2,Grades!$A:$BS,71,0)="Y",B7&lt;7),VLOOKUP($B7,Thresholds_Rates!$I$15:$J$18,2,FALSE),"-"))</f>
        <v/>
      </c>
      <c r="E7" s="82"/>
      <c r="F7" s="81" t="str">
        <f ca="1">IF($B7="","",IF(SUMIF(Grades!$A:$A,$B$2,Grades!$BO:$BO)=0,"-",IF(AND(VLOOKUP($B$2,Grades!$A:$BV,74,FALSE)="YES",B7&lt;Thresholds_Rates!$C$16),"-",$C7*Thresholds_Rates!$F$15)))</f>
        <v/>
      </c>
      <c r="G7" s="81" t="str">
        <f ca="1">IF(B7="","",IF($B$2="Salary Points 3 to 57","-",IF(SUMIF(Grades!$A:$A,$B$2,Grades!$BP:$BP)=0,"-",IF(AND(OR($B$2="New Consultant Contract"),$B7&lt;&gt;""),$C7*Thresholds_Rates!$F$16,IF(AND(OR($B$2="Clinical Lecturer / Medical Research Fellow",$B$2="Clinical Consultant - Old Contract (GP)"),$B7&lt;&gt;""),$C7*Thresholds_Rates!$F$16,IF(AND(OR($B$2="APM Level 7",$B$2="R&amp;T Level 7"),F7&lt;&gt;""),$C7*Thresholds_Rates!$F$16,IF(SUMIF(Grades!$A:$A,$B$2,Grades!$BP:$BP)=1,$C7*Thresholds_Rates!$F$16,"")))))))</f>
        <v/>
      </c>
      <c r="H7" s="81" t="str">
        <f ca="1">IF($B$2="Apprenticeship","-",IF(B7="","",IF(SUMIF(Grades!$A:$A,$B$2,Grades!$BQ:$BQ)=0,"-",IF(AND($B$2="Salary Points 3 to 57",B7&gt;Thresholds_Rates!$C$17),"-",IF(AND($B$2="Salary Points 3 to 57",B7&lt;=Thresholds_Rates!$C$17),$C7*Thresholds_Rates!$F$17,IF(AND(OR($B$2="New Consultant Contract"),$B7&lt;&gt;""),$C7*Thresholds_Rates!$F$17,IF(AND(OR($B$2="Clinical Lecturer / Medical Research Fellow",$B$2="Clinical Consultant - Old Contract (GP)"),$B7&lt;&gt;""),$C7*Thresholds_Rates!$F$17,IF(AND(OR($B$2="APM Level 7",$B$2="R&amp;T Level 7"),G7&lt;&gt;""),$C7*Thresholds_Rates!$F$17,IF(SUMIF(Grades!$A:$A,$B$2,Grades!$BQ:$BQ)=1,$C7*Thresholds_Rates!$F$17,"")))))))))</f>
        <v/>
      </c>
      <c r="I7" s="81" t="str">
        <f ca="1">IF($B7="","",IF($C7=0,0,ROUND(($C7-(Thresholds_Rates!$C$5*12))*Thresholds_Rates!$C$10,0)))</f>
        <v/>
      </c>
      <c r="J7" s="81" t="str">
        <f ca="1">IF(B7="","",(C7*Thresholds_Rates!$C$12))</f>
        <v/>
      </c>
      <c r="K7" s="81" t="str">
        <f ca="1">IF(B7="","",IF(AND($B$2="Salary Points 3 to 57",B7&gt;Thresholds_Rates!$C$17),"-",IF(SUMIF(Grades!$A:$A,$B$2,Grades!$BR:$BR)=0,"-",IF(AND($B$2="Salary Points 3 to 57",B7&lt;=Thresholds_Rates!$C$17),$C7*Thresholds_Rates!$F$18,IF(AND(OR($B$2="New Consultant Contract"),$B7&lt;&gt;""),$C7*Thresholds_Rates!$F$18,IF(AND(OR($B$2="Clinical Lecturer / Medical Research Fellow",$B$2="Clinical Consultant - Old Contract (GP)"),$B7&lt;&gt;""),$C7*Thresholds_Rates!$F$18,IF(AND(OR($B$2="APM Level 7",$B$2="R&amp;T Level 7"),I7&lt;&gt;""),$C7*Thresholds_Rates!$F$18,IF(SUMIF(Grades!$A:$A,$B$2,Grades!$BQ:$BQ)=1,$C7*Thresholds_Rates!$F$18,""))))))))</f>
        <v/>
      </c>
      <c r="L7" s="68"/>
      <c r="M7" s="81" t="str">
        <f t="shared" ref="M7:M70" ca="1" si="0">IF(B7="","",IF(F7="-","-",$C7+$I7+F7+J7))</f>
        <v/>
      </c>
      <c r="N7" s="81" t="str">
        <f t="shared" ref="N7:N70" ca="1" si="1">IF(B7="","",IF(G7="-","-",$C7+$I7+G7+J7))</f>
        <v/>
      </c>
      <c r="O7" s="81" t="str">
        <f t="shared" ref="O7:O70" ca="1" si="2">IF(B7="","",IF(H7="-","-",$C7+$I7+H7+J7))</f>
        <v/>
      </c>
      <c r="P7" s="81" t="str">
        <f t="shared" ref="P7:P70" ca="1" si="3">IF(B7="","",IF(K7="-","-",$C7+$I7+K7+J7))</f>
        <v/>
      </c>
      <c r="Q7" s="81" t="str">
        <f t="shared" ref="Q7:Q70" ca="1" si="4">IF(B7="","",C7+I7+J7)</f>
        <v/>
      </c>
      <c r="R7" s="68"/>
      <c r="S7" s="83" t="str">
        <f ca="1">IF(B7="","",IF($B$2="R&amp;T Level 5 - Clinical Lecturers (Vet School)",SUMIF('Points Lookup'!$V:$V,$B7,'Points Lookup'!$W:$W),IF($B$2="R&amp;T Level 6 - Clinical Associate Professors and Clinical Readers (Vet School)",SUMIF('Points Lookup'!$AC:$AC,$B7,'Points Lookup'!$AD:$AD),"")))</f>
        <v/>
      </c>
      <c r="T7" s="84" t="str">
        <f ca="1">IF(B7="","",IF($B$2="R&amp;T Level 5 - Clinical Lecturers (Vet School)",$C7-SUMIF('Points Lookup'!$V:$V,$B7,'Points Lookup'!$X:$X),IF($B$2="R&amp;T Level 6 - Clinical Associate Professors and Clinical Readers (Vet School)",$C7-SUMIF('Points Lookup'!$AC:$AC,$B7,'Points Lookup'!$AE:$AE),"")))</f>
        <v/>
      </c>
      <c r="U7" s="83" t="str">
        <f ca="1">IF(B7="","",IF($B$2="R&amp;T Level 5 - Clinical Lecturers (Vet School)",SUMIF('Points Lookup'!$V:$V,$B7,'Points Lookup'!$Z:$Z),IF($B$2="R&amp;T Level 6 - Clinical Associate Professors and Clinical Readers (Vet School)",SUMIF('Points Lookup'!$AC:$AC,$B7,'Points Lookup'!$AG:$AG),"")))</f>
        <v/>
      </c>
      <c r="V7" s="84" t="str">
        <f t="shared" ref="V7:V70" ca="1" si="5">IF(B7="","",IF($B$2="R&amp;T Level 5 - Clinical Lecturers (Vet School)",ROUND(C7*U7,0),IF($B$2="R&amp;T Level 6 - Clinical Associate Professors and Clinical Readers (Vet School)",ROUND(C7*U7,0),"")))</f>
        <v/>
      </c>
      <c r="X7" s="39"/>
      <c r="AA7" s="39">
        <v>1</v>
      </c>
      <c r="AO7" s="69"/>
    </row>
    <row r="8" spans="2:41" ht="18.75" customHeight="1" x14ac:dyDescent="0.25">
      <c r="B8" s="68" t="str">
        <f ca="1">IFERROR(INDEX('Points Lookup'!$A:$A,MATCH($AA8,'Points Lookup'!$AN:$AN,0)),"")</f>
        <v/>
      </c>
      <c r="C8" s="81" t="str">
        <f ca="1">IF(B8="","",SUMIF(INDIRECT("'Points Lookup'!"&amp;VLOOKUP($B$2,Grades!A:BU,72,FALSE)&amp;":"&amp;VLOOKUP($B$2,Grades!A:BU,72,FALSE)),B8,INDIRECT("'Points Lookup'!"&amp;VLOOKUP($B$2,Grades!A:BU,73,FALSE)&amp;":"&amp;VLOOKUP($B$2,Grades!A:BU,73,FALSE))))</f>
        <v/>
      </c>
      <c r="D8" s="82" t="str">
        <f ca="1">IF(B8="","",IF(AND(VLOOKUP($B$2,Grades!$A:$BS,71,0)="Y",B8&lt;7),VLOOKUP($B8,Thresholds_Rates!$I$15:$J$18,2,FALSE),"-"))</f>
        <v/>
      </c>
      <c r="E8" s="82"/>
      <c r="F8" s="81" t="str">
        <f ca="1">IF($B8="","",IF(SUMIF(Grades!$A:$A,$B$2,Grades!$BO:$BO)=0,"-",IF(AND(VLOOKUP($B$2,Grades!$A:$BV,74,FALSE)="YES",B8&lt;Thresholds_Rates!$C$16),"-",$C8*Thresholds_Rates!$F$15)))</f>
        <v/>
      </c>
      <c r="G8" s="81" t="str">
        <f ca="1">IF(B8="","",IF($B$2="Salary Points 3 to 57","-",IF(SUMIF(Grades!$A:$A,$B$2,Grades!$BP:$BP)=0,"-",IF(AND(OR($B$2="New Consultant Contract"),$B8&lt;&gt;""),$C8*Thresholds_Rates!$F$16,IF(AND(OR($B$2="Clinical Lecturer / Medical Research Fellow",$B$2="Clinical Consultant - Old Contract (GP)"),$B8&lt;&gt;""),$C8*Thresholds_Rates!$F$16,IF(AND(OR($B$2="APM Level 7",$B$2="R&amp;T Level 7"),F8&lt;&gt;""),$C8*Thresholds_Rates!$F$16,IF(SUMIF(Grades!$A:$A,$B$2,Grades!$BP:$BP)=1,$C8*Thresholds_Rates!$F$16,"")))))))</f>
        <v/>
      </c>
      <c r="H8" s="81" t="str">
        <f ca="1">IF($B$2="Apprenticeship","-",IF(B8="","",IF(SUMIF(Grades!$A:$A,$B$2,Grades!$BQ:$BQ)=0,"-",IF(AND($B$2="Salary Points 3 to 57",B8&gt;Thresholds_Rates!$C$17),"-",IF(AND($B$2="Salary Points 3 to 57",B8&lt;=Thresholds_Rates!$C$17),$C8*Thresholds_Rates!$F$17,IF(AND(OR($B$2="New Consultant Contract"),$B8&lt;&gt;""),$C8*Thresholds_Rates!$F$17,IF(AND(OR($B$2="Clinical Lecturer / Medical Research Fellow",$B$2="Clinical Consultant - Old Contract (GP)"),$B8&lt;&gt;""),$C8*Thresholds_Rates!$F$17,IF(AND(OR($B$2="APM Level 7",$B$2="R&amp;T Level 7"),G8&lt;&gt;""),$C8*Thresholds_Rates!$F$17,IF(SUMIF(Grades!$A:$A,$B$2,Grades!$BQ:$BQ)=1,$C8*Thresholds_Rates!$F$17,"")))))))))</f>
        <v/>
      </c>
      <c r="I8" s="81" t="str">
        <f ca="1">IF($B8="","",IF($C8=0,0,ROUND(($C8-(Thresholds_Rates!$C$5*12))*Thresholds_Rates!$C$10,0)))</f>
        <v/>
      </c>
      <c r="J8" s="81" t="str">
        <f ca="1">IF(B8="","",(C8*Thresholds_Rates!$C$12))</f>
        <v/>
      </c>
      <c r="K8" s="81" t="str">
        <f ca="1">IF(B8="","",IF(AND($B$2="Salary Points 3 to 57",B8&gt;Thresholds_Rates!$C$17),"-",IF(SUMIF(Grades!$A:$A,$B$2,Grades!$BR:$BR)=0,"-",IF(AND($B$2="Salary Points 3 to 57",B8&lt;=Thresholds_Rates!$C$17),$C8*Thresholds_Rates!$F$18,IF(AND(OR($B$2="New Consultant Contract"),$B8&lt;&gt;""),$C8*Thresholds_Rates!$F$18,IF(AND(OR($B$2="Clinical Lecturer / Medical Research Fellow",$B$2="Clinical Consultant - Old Contract (GP)"),$B8&lt;&gt;""),$C8*Thresholds_Rates!$F$18,IF(AND(OR($B$2="APM Level 7",$B$2="R&amp;T Level 7"),I8&lt;&gt;""),$C8*Thresholds_Rates!$F$18,IF(SUMIF(Grades!$A:$A,$B$2,Grades!$BQ:$BQ)=1,$C8*Thresholds_Rates!$F$18,""))))))))</f>
        <v/>
      </c>
      <c r="L8" s="68"/>
      <c r="M8" s="81" t="str">
        <f t="shared" ca="1" si="0"/>
        <v/>
      </c>
      <c r="N8" s="81" t="str">
        <f t="shared" ca="1" si="1"/>
        <v/>
      </c>
      <c r="O8" s="81" t="str">
        <f t="shared" ca="1" si="2"/>
        <v/>
      </c>
      <c r="P8" s="81" t="str">
        <f t="shared" ca="1" si="3"/>
        <v/>
      </c>
      <c r="Q8" s="81" t="str">
        <f t="shared" ca="1" si="4"/>
        <v/>
      </c>
      <c r="R8" s="68"/>
      <c r="S8" s="83" t="str">
        <f ca="1">IF(B8="","",IF($B$2="R&amp;T Level 5 - Clinical Lecturers (Vet School)",SUMIF('Points Lookup'!$V:$V,$B8,'Points Lookup'!$W:$W),IF($B$2="R&amp;T Level 6 - Clinical Associate Professors and Clinical Readers (Vet School)",SUMIF('Points Lookup'!$AC:$AC,$B8,'Points Lookup'!$AD:$AD),"")))</f>
        <v/>
      </c>
      <c r="T8" s="84" t="str">
        <f ca="1">IF(B8="","",IF($B$2="R&amp;T Level 5 - Clinical Lecturers (Vet School)",$C8-SUMIF('Points Lookup'!$V:$V,$B8,'Points Lookup'!$X:$X),IF($B$2="R&amp;T Level 6 - Clinical Associate Professors and Clinical Readers (Vet School)",$C8-SUMIF('Points Lookup'!$AC:$AC,$B8,'Points Lookup'!$AE:$AE),"")))</f>
        <v/>
      </c>
      <c r="U8" s="83" t="str">
        <f ca="1">IF(B8="","",IF($B$2="R&amp;T Level 5 - Clinical Lecturers (Vet School)",SUMIF('Points Lookup'!$V:$V,$B8,'Points Lookup'!$Z:$Z),IF($B$2="R&amp;T Level 6 - Clinical Associate Professors and Clinical Readers (Vet School)",SUMIF('Points Lookup'!$AC:$AC,$B8,'Points Lookup'!$AG:$AG),"")))</f>
        <v/>
      </c>
      <c r="V8" s="84" t="str">
        <f t="shared" ca="1" si="5"/>
        <v/>
      </c>
      <c r="X8" s="39"/>
      <c r="AA8" s="39">
        <v>2</v>
      </c>
    </row>
    <row r="9" spans="2:41" x14ac:dyDescent="0.25">
      <c r="B9" s="68" t="str">
        <f ca="1">IFERROR(INDEX('Points Lookup'!$A:$A,MATCH($AA9,'Points Lookup'!$AN:$AN,0)),"")</f>
        <v/>
      </c>
      <c r="C9" s="81" t="str">
        <f ca="1">IF(B9="","",SUMIF(INDIRECT("'Points Lookup'!"&amp;VLOOKUP($B$2,Grades!A:BU,72,FALSE)&amp;":"&amp;VLOOKUP($B$2,Grades!A:BU,72,FALSE)),B9,INDIRECT("'Points Lookup'!"&amp;VLOOKUP($B$2,Grades!A:BU,73,FALSE)&amp;":"&amp;VLOOKUP($B$2,Grades!A:BU,73,FALSE))))</f>
        <v/>
      </c>
      <c r="D9" s="82" t="str">
        <f ca="1">IF(B9="","",IF(AND(VLOOKUP($B$2,Grades!$A:$BS,71,0)="Y",B9&lt;7),VLOOKUP($B9,Thresholds_Rates!$I$15:$J$18,2,FALSE),"-"))</f>
        <v/>
      </c>
      <c r="E9" s="82"/>
      <c r="F9" s="81" t="str">
        <f ca="1">IF($B9="","",IF(SUMIF(Grades!$A:$A,$B$2,Grades!$BO:$BO)=0,"-",IF(AND(VLOOKUP($B$2,Grades!$A:$BV,74,FALSE)="YES",B9&lt;Thresholds_Rates!$C$16),"-",$C9*Thresholds_Rates!$F$15)))</f>
        <v/>
      </c>
      <c r="G9" s="81" t="str">
        <f ca="1">IF(B9="","",IF($B$2="Salary Points 3 to 57","-",IF(SUMIF(Grades!$A:$A,$B$2,Grades!$BP:$BP)=0,"-",IF(AND(OR($B$2="New Consultant Contract"),$B9&lt;&gt;""),$C9*Thresholds_Rates!$F$16,IF(AND(OR($B$2="Clinical Lecturer / Medical Research Fellow",$B$2="Clinical Consultant - Old Contract (GP)"),$B9&lt;&gt;""),$C9*Thresholds_Rates!$F$16,IF(AND(OR($B$2="APM Level 7",$B$2="R&amp;T Level 7"),F9&lt;&gt;""),$C9*Thresholds_Rates!$F$16,IF(SUMIF(Grades!$A:$A,$B$2,Grades!$BP:$BP)=1,$C9*Thresholds_Rates!$F$16,"")))))))</f>
        <v/>
      </c>
      <c r="H9" s="81" t="str">
        <f ca="1">IF($B$2="Apprenticeship","-",IF(B9="","",IF(SUMIF(Grades!$A:$A,$B$2,Grades!$BQ:$BQ)=0,"-",IF(AND($B$2="Salary Points 3 to 57",B9&gt;Thresholds_Rates!$C$17),"-",IF(AND($B$2="Salary Points 3 to 57",B9&lt;=Thresholds_Rates!$C$17),$C9*Thresholds_Rates!$F$17,IF(AND(OR($B$2="New Consultant Contract"),$B9&lt;&gt;""),$C9*Thresholds_Rates!$F$17,IF(AND(OR($B$2="Clinical Lecturer / Medical Research Fellow",$B$2="Clinical Consultant - Old Contract (GP)"),$B9&lt;&gt;""),$C9*Thresholds_Rates!$F$17,IF(AND(OR($B$2="APM Level 7",$B$2="R&amp;T Level 7"),G9&lt;&gt;""),$C9*Thresholds_Rates!$F$17,IF(SUMIF(Grades!$A:$A,$B$2,Grades!$BQ:$BQ)=1,$C9*Thresholds_Rates!$F$17,"")))))))))</f>
        <v/>
      </c>
      <c r="I9" s="81" t="str">
        <f ca="1">IF($B9="","",IF($C9=0,0,ROUND(($C9-(Thresholds_Rates!$C$5*12))*Thresholds_Rates!$C$10,0)))</f>
        <v/>
      </c>
      <c r="J9" s="81" t="str">
        <f ca="1">IF(B9="","",(C9*Thresholds_Rates!$C$12))</f>
        <v/>
      </c>
      <c r="K9" s="81" t="str">
        <f ca="1">IF(B9="","",IF(AND($B$2="Salary Points 3 to 57",B9&gt;Thresholds_Rates!$C$17),"-",IF(SUMIF(Grades!$A:$A,$B$2,Grades!$BR:$BR)=0,"-",IF(AND($B$2="Salary Points 3 to 57",B9&lt;=Thresholds_Rates!$C$17),$C9*Thresholds_Rates!$F$18,IF(AND(OR($B$2="New Consultant Contract"),$B9&lt;&gt;""),$C9*Thresholds_Rates!$F$18,IF(AND(OR($B$2="Clinical Lecturer / Medical Research Fellow",$B$2="Clinical Consultant - Old Contract (GP)"),$B9&lt;&gt;""),$C9*Thresholds_Rates!$F$18,IF(AND(OR($B$2="APM Level 7",$B$2="R&amp;T Level 7"),I9&lt;&gt;""),$C9*Thresholds_Rates!$F$18,IF(SUMIF(Grades!$A:$A,$B$2,Grades!$BQ:$BQ)=1,$C9*Thresholds_Rates!$F$18,""))))))))</f>
        <v/>
      </c>
      <c r="L9" s="68"/>
      <c r="M9" s="81" t="str">
        <f t="shared" ca="1" si="0"/>
        <v/>
      </c>
      <c r="N9" s="81" t="str">
        <f t="shared" ca="1" si="1"/>
        <v/>
      </c>
      <c r="O9" s="81" t="str">
        <f t="shared" ca="1" si="2"/>
        <v/>
      </c>
      <c r="P9" s="81" t="str">
        <f t="shared" ca="1" si="3"/>
        <v/>
      </c>
      <c r="Q9" s="81" t="str">
        <f t="shared" ca="1" si="4"/>
        <v/>
      </c>
      <c r="S9" s="83" t="str">
        <f ca="1">IF(B9="","",IF($B$2="R&amp;T Level 5 - Clinical Lecturers (Vet School)",SUMIF('Points Lookup'!$V:$V,$B9,'Points Lookup'!$W:$W),IF($B$2="R&amp;T Level 6 - Clinical Associate Professors and Clinical Readers (Vet School)",SUMIF('Points Lookup'!$AC:$AC,$B9,'Points Lookup'!$AD:$AD),"")))</f>
        <v/>
      </c>
      <c r="T9" s="84" t="str">
        <f ca="1">IF(B9="","",IF($B$2="R&amp;T Level 5 - Clinical Lecturers (Vet School)",$C9-SUMIF('Points Lookup'!$V:$V,$B9,'Points Lookup'!$X:$X),IF($B$2="R&amp;T Level 6 - Clinical Associate Professors and Clinical Readers (Vet School)",$C9-SUMIF('Points Lookup'!$AC:$AC,$B9,'Points Lookup'!$AE:$AE),"")))</f>
        <v/>
      </c>
      <c r="U9" s="83" t="str">
        <f ca="1">IF(B9="","",IF($B$2="R&amp;T Level 5 - Clinical Lecturers (Vet School)",SUMIF('Points Lookup'!$V:$V,$B9,'Points Lookup'!$Z:$Z),IF($B$2="R&amp;T Level 6 - Clinical Associate Professors and Clinical Readers (Vet School)",SUMIF('Points Lookup'!$AC:$AC,$B9,'Points Lookup'!$AG:$AG),"")))</f>
        <v/>
      </c>
      <c r="V9" s="84" t="str">
        <f t="shared" ca="1" si="5"/>
        <v/>
      </c>
      <c r="X9" s="39"/>
      <c r="AA9" s="39">
        <v>3</v>
      </c>
    </row>
    <row r="10" spans="2:41" x14ac:dyDescent="0.25">
      <c r="B10" s="68" t="str">
        <f ca="1">IFERROR(INDEX('Points Lookup'!$A:$A,MATCH($AA10,'Points Lookup'!$AN:$AN,0)),"")</f>
        <v/>
      </c>
      <c r="C10" s="81" t="str">
        <f ca="1">IF(B10="","",SUMIF(INDIRECT("'Points Lookup'!"&amp;VLOOKUP($B$2,Grades!A:BU,72,FALSE)&amp;":"&amp;VLOOKUP($B$2,Grades!A:BU,72,FALSE)),B10,INDIRECT("'Points Lookup'!"&amp;VLOOKUP($B$2,Grades!A:BU,73,FALSE)&amp;":"&amp;VLOOKUP($B$2,Grades!A:BU,73,FALSE))))</f>
        <v/>
      </c>
      <c r="D10" s="82" t="str">
        <f ca="1">IF(B10="","",IF(AND(VLOOKUP($B$2,Grades!$A:$BS,71,0)="Y",B10&lt;7),VLOOKUP($B10,Thresholds_Rates!$I$15:$J$18,2,FALSE),"-"))</f>
        <v/>
      </c>
      <c r="E10" s="82"/>
      <c r="F10" s="81" t="str">
        <f ca="1">IF($B10="","",IF(SUMIF(Grades!$A:$A,$B$2,Grades!$BO:$BO)=0,"-",IF(AND(VLOOKUP($B$2,Grades!$A:$BV,74,FALSE)="YES",B10&lt;Thresholds_Rates!$C$16),"-",$C10*Thresholds_Rates!$F$15)))</f>
        <v/>
      </c>
      <c r="G10" s="81" t="str">
        <f ca="1">IF(B10="","",IF($B$2="Salary Points 3 to 57","-",IF(SUMIF(Grades!$A:$A,$B$2,Grades!$BP:$BP)=0,"-",IF(AND(OR($B$2="New Consultant Contract"),$B10&lt;&gt;""),$C10*Thresholds_Rates!$F$16,IF(AND(OR($B$2="Clinical Lecturer / Medical Research Fellow",$B$2="Clinical Consultant - Old Contract (GP)"),$B10&lt;&gt;""),$C10*Thresholds_Rates!$F$16,IF(AND(OR($B$2="APM Level 7",$B$2="R&amp;T Level 7"),F10&lt;&gt;""),$C10*Thresholds_Rates!$F$16,IF(SUMIF(Grades!$A:$A,$B$2,Grades!$BP:$BP)=1,$C10*Thresholds_Rates!$F$16,"")))))))</f>
        <v/>
      </c>
      <c r="H10" s="81" t="str">
        <f ca="1">IF($B$2="Apprenticeship","-",IF(B10="","",IF(SUMIF(Grades!$A:$A,$B$2,Grades!$BQ:$BQ)=0,"-",IF(AND($B$2="Salary Points 3 to 57",B10&gt;Thresholds_Rates!$C$17),"-",IF(AND($B$2="Salary Points 3 to 57",B10&lt;=Thresholds_Rates!$C$17),$C10*Thresholds_Rates!$F$17,IF(AND(OR($B$2="New Consultant Contract"),$B10&lt;&gt;""),$C10*Thresholds_Rates!$F$17,IF(AND(OR($B$2="Clinical Lecturer / Medical Research Fellow",$B$2="Clinical Consultant - Old Contract (GP)"),$B10&lt;&gt;""),$C10*Thresholds_Rates!$F$17,IF(AND(OR($B$2="APM Level 7",$B$2="R&amp;T Level 7"),G10&lt;&gt;""),$C10*Thresholds_Rates!$F$17,IF(SUMIF(Grades!$A:$A,$B$2,Grades!$BQ:$BQ)=1,$C10*Thresholds_Rates!$F$17,"")))))))))</f>
        <v/>
      </c>
      <c r="I10" s="81" t="str">
        <f ca="1">IF($B10="","",IF($C10=0,0,ROUND(($C10-(Thresholds_Rates!$C$5*12))*Thresholds_Rates!$C$10,0)))</f>
        <v/>
      </c>
      <c r="J10" s="81" t="str">
        <f ca="1">IF(B10="","",(C10*Thresholds_Rates!$C$12))</f>
        <v/>
      </c>
      <c r="K10" s="81" t="str">
        <f ca="1">IF(B10="","",IF(AND($B$2="Salary Points 3 to 57",B10&gt;Thresholds_Rates!$C$17),"-",IF(SUMIF(Grades!$A:$A,$B$2,Grades!$BR:$BR)=0,"-",IF(AND($B$2="Salary Points 3 to 57",B10&lt;=Thresholds_Rates!$C$17),$C10*Thresholds_Rates!$F$18,IF(AND(OR($B$2="New Consultant Contract"),$B10&lt;&gt;""),$C10*Thresholds_Rates!$F$18,IF(AND(OR($B$2="Clinical Lecturer / Medical Research Fellow",$B$2="Clinical Consultant - Old Contract (GP)"),$B10&lt;&gt;""),$C10*Thresholds_Rates!$F$18,IF(AND(OR($B$2="APM Level 7",$B$2="R&amp;T Level 7"),I10&lt;&gt;""),$C10*Thresholds_Rates!$F$18,IF(SUMIF(Grades!$A:$A,$B$2,Grades!$BQ:$BQ)=1,$C10*Thresholds_Rates!$F$18,""))))))))</f>
        <v/>
      </c>
      <c r="L10" s="68"/>
      <c r="M10" s="81" t="str">
        <f t="shared" ca="1" si="0"/>
        <v/>
      </c>
      <c r="N10" s="81" t="str">
        <f t="shared" ca="1" si="1"/>
        <v/>
      </c>
      <c r="O10" s="81" t="str">
        <f t="shared" ca="1" si="2"/>
        <v/>
      </c>
      <c r="P10" s="81" t="str">
        <f t="shared" ca="1" si="3"/>
        <v/>
      </c>
      <c r="Q10" s="81" t="str">
        <f t="shared" ca="1" si="4"/>
        <v/>
      </c>
      <c r="S10" s="83" t="str">
        <f ca="1">IF(B10="","",IF($B$2="R&amp;T Level 5 - Clinical Lecturers (Vet School)",SUMIF('Points Lookup'!$V:$V,$B10,'Points Lookup'!$W:$W),IF($B$2="R&amp;T Level 6 - Clinical Associate Professors and Clinical Readers (Vet School)",SUMIF('Points Lookup'!$AC:$AC,$B10,'Points Lookup'!$AD:$AD),"")))</f>
        <v/>
      </c>
      <c r="T10" s="84" t="str">
        <f ca="1">IF(B10="","",IF($B$2="R&amp;T Level 5 - Clinical Lecturers (Vet School)",$C10-SUMIF('Points Lookup'!$V:$V,$B10,'Points Lookup'!$X:$X),IF($B$2="R&amp;T Level 6 - Clinical Associate Professors and Clinical Readers (Vet School)",$C10-SUMIF('Points Lookup'!$AC:$AC,$B10,'Points Lookup'!$AE:$AE),"")))</f>
        <v/>
      </c>
      <c r="U10" s="83" t="str">
        <f ca="1">IF(B10="","",IF($B$2="R&amp;T Level 5 - Clinical Lecturers (Vet School)",SUMIF('Points Lookup'!$V:$V,$B10,'Points Lookup'!$Z:$Z),IF($B$2="R&amp;T Level 6 - Clinical Associate Professors and Clinical Readers (Vet School)",SUMIF('Points Lookup'!$AC:$AC,$B10,'Points Lookup'!$AG:$AG),"")))</f>
        <v/>
      </c>
      <c r="V10" s="84" t="str">
        <f t="shared" ca="1" si="5"/>
        <v/>
      </c>
      <c r="X10" s="39"/>
      <c r="AA10" s="39">
        <v>4</v>
      </c>
    </row>
    <row r="11" spans="2:41" x14ac:dyDescent="0.25">
      <c r="B11" s="68" t="str">
        <f ca="1">IFERROR(INDEX('Points Lookup'!$A:$A,MATCH($AA11,'Points Lookup'!$AN:$AN,0)),"")</f>
        <v/>
      </c>
      <c r="C11" s="81" t="str">
        <f ca="1">IF(B11="","",SUMIF(INDIRECT("'Points Lookup'!"&amp;VLOOKUP($B$2,Grades!A:BU,72,FALSE)&amp;":"&amp;VLOOKUP($B$2,Grades!A:BU,72,FALSE)),B11,INDIRECT("'Points Lookup'!"&amp;VLOOKUP($B$2,Grades!A:BU,73,FALSE)&amp;":"&amp;VLOOKUP($B$2,Grades!A:BU,73,FALSE))))</f>
        <v/>
      </c>
      <c r="D11" s="82" t="str">
        <f ca="1">IF(B11="","",IF(AND(VLOOKUP($B$2,Grades!$A:$BS,71,0)="Y",B11&lt;7),VLOOKUP($B11,Thresholds_Rates!$I$15:$J$18,2,FALSE),"-"))</f>
        <v/>
      </c>
      <c r="E11" s="81"/>
      <c r="F11" s="81" t="str">
        <f ca="1">IF($B11="","",IF(SUMIF(Grades!$A:$A,$B$2,Grades!$BO:$BO)=0,"-",IF(AND(VLOOKUP($B$2,Grades!$A:$BV,74,FALSE)="YES",B11&lt;Thresholds_Rates!$C$16),"-",$C11*Thresholds_Rates!$F$15)))</f>
        <v/>
      </c>
      <c r="G11" s="81" t="str">
        <f ca="1">IF(B11="","",IF($B$2="Salary Points 3 to 57","-",IF(SUMIF(Grades!$A:$A,$B$2,Grades!$BP:$BP)=0,"-",IF(AND(OR($B$2="New Consultant Contract"),$B11&lt;&gt;""),$C11*Thresholds_Rates!$F$16,IF(AND(OR($B$2="Clinical Lecturer / Medical Research Fellow",$B$2="Clinical Consultant - Old Contract (GP)"),$B11&lt;&gt;""),$C11*Thresholds_Rates!$F$16,IF(AND(OR($B$2="APM Level 7",$B$2="R&amp;T Level 7"),F11&lt;&gt;""),$C11*Thresholds_Rates!$F$16,IF(SUMIF(Grades!$A:$A,$B$2,Grades!$BP:$BP)=1,$C11*Thresholds_Rates!$F$16,"")))))))</f>
        <v/>
      </c>
      <c r="H11" s="81" t="str">
        <f ca="1">IF($B$2="Apprenticeship","-",IF(B11="","",IF(SUMIF(Grades!$A:$A,$B$2,Grades!$BQ:$BQ)=0,"-",IF(AND($B$2="Salary Points 3 to 57",B11&gt;Thresholds_Rates!$C$17),"-",IF(AND($B$2="Salary Points 3 to 57",B11&lt;=Thresholds_Rates!$C$17),$C11*Thresholds_Rates!$F$17,IF(AND(OR($B$2="New Consultant Contract"),$B11&lt;&gt;""),$C11*Thresholds_Rates!$F$17,IF(AND(OR($B$2="Clinical Lecturer / Medical Research Fellow",$B$2="Clinical Consultant - Old Contract (GP)"),$B11&lt;&gt;""),$C11*Thresholds_Rates!$F$17,IF(AND(OR($B$2="APM Level 7",$B$2="R&amp;T Level 7"),G11&lt;&gt;""),$C11*Thresholds_Rates!$F$17,IF(SUMIF(Grades!$A:$A,$B$2,Grades!$BQ:$BQ)=1,$C11*Thresholds_Rates!$F$17,"")))))))))</f>
        <v/>
      </c>
      <c r="I11" s="81" t="str">
        <f ca="1">IF($B11="","",IF($C11=0,0,ROUND(($C11-(Thresholds_Rates!$C$5*12))*Thresholds_Rates!$C$10,0)))</f>
        <v/>
      </c>
      <c r="J11" s="81" t="str">
        <f ca="1">IF(B11="","",(C11*Thresholds_Rates!$C$12))</f>
        <v/>
      </c>
      <c r="K11" s="81" t="str">
        <f ca="1">IF(B11="","",IF(AND($B$2="Salary Points 3 to 57",B11&gt;Thresholds_Rates!$C$17),"-",IF(SUMIF(Grades!$A:$A,$B$2,Grades!$BR:$BR)=0,"-",IF(AND($B$2="Salary Points 3 to 57",B11&lt;=Thresholds_Rates!$C$17),$C11*Thresholds_Rates!$F$18,IF(AND(OR($B$2="New Consultant Contract"),$B11&lt;&gt;""),$C11*Thresholds_Rates!$F$18,IF(AND(OR($B$2="Clinical Lecturer / Medical Research Fellow",$B$2="Clinical Consultant - Old Contract (GP)"),$B11&lt;&gt;""),$C11*Thresholds_Rates!$F$18,IF(AND(OR($B$2="APM Level 7",$B$2="R&amp;T Level 7"),I11&lt;&gt;""),$C11*Thresholds_Rates!$F$18,IF(SUMIF(Grades!$A:$A,$B$2,Grades!$BQ:$BQ)=1,$C11*Thresholds_Rates!$F$18,""))))))))</f>
        <v/>
      </c>
      <c r="L11" s="68"/>
      <c r="M11" s="81" t="str">
        <f t="shared" ca="1" si="0"/>
        <v/>
      </c>
      <c r="N11" s="81" t="str">
        <f t="shared" ca="1" si="1"/>
        <v/>
      </c>
      <c r="O11" s="81" t="str">
        <f t="shared" ca="1" si="2"/>
        <v/>
      </c>
      <c r="P11" s="81" t="str">
        <f t="shared" ca="1" si="3"/>
        <v/>
      </c>
      <c r="Q11" s="81" t="str">
        <f t="shared" ca="1" si="4"/>
        <v/>
      </c>
      <c r="S11" s="83" t="str">
        <f ca="1">IF(B11="","",IF($B$2="R&amp;T Level 5 - Clinical Lecturers (Vet School)",SUMIF('Points Lookup'!$V:$V,$B11,'Points Lookup'!$W:$W),IF($B$2="R&amp;T Level 6 - Clinical Associate Professors and Clinical Readers (Vet School)",SUMIF('Points Lookup'!$AC:$AC,$B11,'Points Lookup'!$AD:$AD),"")))</f>
        <v/>
      </c>
      <c r="T11" s="84" t="str">
        <f ca="1">IF(B11="","",IF($B$2="R&amp;T Level 5 - Clinical Lecturers (Vet School)",$C11-SUMIF('Points Lookup'!$V:$V,$B11,'Points Lookup'!$X:$X),IF($B$2="R&amp;T Level 6 - Clinical Associate Professors and Clinical Readers (Vet School)",$C11-SUMIF('Points Lookup'!$AC:$AC,$B11,'Points Lookup'!$AE:$AE),"")))</f>
        <v/>
      </c>
      <c r="U11" s="83" t="str">
        <f ca="1">IF(B11="","",IF($B$2="R&amp;T Level 5 - Clinical Lecturers (Vet School)",SUMIF('Points Lookup'!$V:$V,$B11,'Points Lookup'!$Z:$Z),IF($B$2="R&amp;T Level 6 - Clinical Associate Professors and Clinical Readers (Vet School)",SUMIF('Points Lookup'!$AC:$AC,$B11,'Points Lookup'!$AG:$AG),"")))</f>
        <v/>
      </c>
      <c r="V11" s="84" t="str">
        <f t="shared" ca="1" si="5"/>
        <v/>
      </c>
      <c r="X11" s="39"/>
      <c r="AA11" s="39">
        <v>5</v>
      </c>
    </row>
    <row r="12" spans="2:41" x14ac:dyDescent="0.25">
      <c r="B12" s="68" t="str">
        <f ca="1">IFERROR(INDEX('Points Lookup'!$A:$A,MATCH($AA12,'Points Lookup'!$AN:$AN,0)),"")</f>
        <v/>
      </c>
      <c r="C12" s="81" t="str">
        <f ca="1">IF(B12="","",SUMIF(INDIRECT("'Points Lookup'!"&amp;VLOOKUP($B$2,Grades!A:BU,72,FALSE)&amp;":"&amp;VLOOKUP($B$2,Grades!A:BU,72,FALSE)),B12,INDIRECT("'Points Lookup'!"&amp;VLOOKUP($B$2,Grades!A:BU,73,FALSE)&amp;":"&amp;VLOOKUP($B$2,Grades!A:BU,73,FALSE))))</f>
        <v/>
      </c>
      <c r="D12" s="82" t="str">
        <f ca="1">IF(B12="","",IF(AND(VLOOKUP($B$2,Grades!$A:$BS,71,0)="Y",B12&lt;7),VLOOKUP($B12,Thresholds_Rates!$I$15:$J$18,2,FALSE),"-"))</f>
        <v/>
      </c>
      <c r="E12" s="81"/>
      <c r="F12" s="81" t="str">
        <f ca="1">IF($B12="","",IF(SUMIF(Grades!$A:$A,$B$2,Grades!$BO:$BO)=0,"-",IF(AND(VLOOKUP($B$2,Grades!$A:$BV,74,FALSE)="YES",B12&lt;Thresholds_Rates!$C$16),"-",$C12*Thresholds_Rates!$F$15)))</f>
        <v/>
      </c>
      <c r="G12" s="81" t="str">
        <f ca="1">IF(B12="","",IF($B$2="Salary Points 3 to 57","-",IF(SUMIF(Grades!$A:$A,$B$2,Grades!$BP:$BP)=0,"-",IF(AND(OR($B$2="New Consultant Contract"),$B12&lt;&gt;""),$C12*Thresholds_Rates!$F$16,IF(AND(OR($B$2="Clinical Lecturer / Medical Research Fellow",$B$2="Clinical Consultant - Old Contract (GP)"),$B12&lt;&gt;""),$C12*Thresholds_Rates!$F$16,IF(AND(OR($B$2="APM Level 7",$B$2="R&amp;T Level 7"),F12&lt;&gt;""),$C12*Thresholds_Rates!$F$16,IF(SUMIF(Grades!$A:$A,$B$2,Grades!$BP:$BP)=1,$C12*Thresholds_Rates!$F$16,"")))))))</f>
        <v/>
      </c>
      <c r="H12" s="81" t="str">
        <f ca="1">IF($B$2="Apprenticeship","-",IF(B12="","",IF(SUMIF(Grades!$A:$A,$B$2,Grades!$BQ:$BQ)=0,"-",IF(AND($B$2="Salary Points 3 to 57",B12&gt;Thresholds_Rates!$C$17),"-",IF(AND($B$2="Salary Points 3 to 57",B12&lt;=Thresholds_Rates!$C$17),$C12*Thresholds_Rates!$F$17,IF(AND(OR($B$2="New Consultant Contract"),$B12&lt;&gt;""),$C12*Thresholds_Rates!$F$17,IF(AND(OR($B$2="Clinical Lecturer / Medical Research Fellow",$B$2="Clinical Consultant - Old Contract (GP)"),$B12&lt;&gt;""),$C12*Thresholds_Rates!$F$17,IF(AND(OR($B$2="APM Level 7",$B$2="R&amp;T Level 7"),G12&lt;&gt;""),$C12*Thresholds_Rates!$F$17,IF(SUMIF(Grades!$A:$A,$B$2,Grades!$BQ:$BQ)=1,$C12*Thresholds_Rates!$F$17,"")))))))))</f>
        <v/>
      </c>
      <c r="I12" s="81" t="str">
        <f ca="1">IF($B12="","",IF($C12=0,0,ROUND(($C12-(Thresholds_Rates!$C$5*12))*Thresholds_Rates!$C$10,0)))</f>
        <v/>
      </c>
      <c r="J12" s="81" t="str">
        <f ca="1">IF(B12="","",(C12*Thresholds_Rates!$C$12))</f>
        <v/>
      </c>
      <c r="K12" s="81" t="str">
        <f ca="1">IF(B12="","",IF(AND($B$2="Salary Points 3 to 57",B12&gt;Thresholds_Rates!$C$17),"-",IF(SUMIF(Grades!$A:$A,$B$2,Grades!$BR:$BR)=0,"-",IF(AND($B$2="Salary Points 3 to 57",B12&lt;=Thresholds_Rates!$C$17),$C12*Thresholds_Rates!$F$18,IF(AND(OR($B$2="New Consultant Contract"),$B12&lt;&gt;""),$C12*Thresholds_Rates!$F$18,IF(AND(OR($B$2="Clinical Lecturer / Medical Research Fellow",$B$2="Clinical Consultant - Old Contract (GP)"),$B12&lt;&gt;""),$C12*Thresholds_Rates!$F$18,IF(AND(OR($B$2="APM Level 7",$B$2="R&amp;T Level 7"),I12&lt;&gt;""),$C12*Thresholds_Rates!$F$18,IF(SUMIF(Grades!$A:$A,$B$2,Grades!$BQ:$BQ)=1,$C12*Thresholds_Rates!$F$18,""))))))))</f>
        <v/>
      </c>
      <c r="L12" s="68"/>
      <c r="M12" s="81" t="str">
        <f t="shared" ca="1" si="0"/>
        <v/>
      </c>
      <c r="N12" s="81" t="str">
        <f t="shared" ca="1" si="1"/>
        <v/>
      </c>
      <c r="O12" s="81" t="str">
        <f t="shared" ca="1" si="2"/>
        <v/>
      </c>
      <c r="P12" s="81" t="str">
        <f t="shared" ca="1" si="3"/>
        <v/>
      </c>
      <c r="Q12" s="81" t="str">
        <f t="shared" ca="1" si="4"/>
        <v/>
      </c>
      <c r="S12" s="83" t="str">
        <f ca="1">IF(B12="","",IF($B$2="R&amp;T Level 5 - Clinical Lecturers (Vet School)",SUMIF('Points Lookup'!$V:$V,$B12,'Points Lookup'!$W:$W),IF($B$2="R&amp;T Level 6 - Clinical Associate Professors and Clinical Readers (Vet School)",SUMIF('Points Lookup'!$AC:$AC,$B12,'Points Lookup'!$AD:$AD),"")))</f>
        <v/>
      </c>
      <c r="T12" s="84" t="str">
        <f ca="1">IF(B12="","",IF($B$2="R&amp;T Level 5 - Clinical Lecturers (Vet School)",$C12-SUMIF('Points Lookup'!$V:$V,$B12,'Points Lookup'!$X:$X),IF($B$2="R&amp;T Level 6 - Clinical Associate Professors and Clinical Readers (Vet School)",$C12-SUMIF('Points Lookup'!$AC:$AC,$B12,'Points Lookup'!$AE:$AE),"")))</f>
        <v/>
      </c>
      <c r="U12" s="83" t="str">
        <f ca="1">IF(B12="","",IF($B$2="R&amp;T Level 5 - Clinical Lecturers (Vet School)",SUMIF('Points Lookup'!$V:$V,$B12,'Points Lookup'!$Z:$Z),IF($B$2="R&amp;T Level 6 - Clinical Associate Professors and Clinical Readers (Vet School)",SUMIF('Points Lookup'!$AC:$AC,$B12,'Points Lookup'!$AG:$AG),"")))</f>
        <v/>
      </c>
      <c r="V12" s="84" t="str">
        <f t="shared" ca="1" si="5"/>
        <v/>
      </c>
      <c r="X12" s="39"/>
      <c r="AA12" s="39">
        <v>6</v>
      </c>
    </row>
    <row r="13" spans="2:41" x14ac:dyDescent="0.25">
      <c r="B13" s="68" t="str">
        <f ca="1">IFERROR(INDEX('Points Lookup'!$A:$A,MATCH($AA13,'Points Lookup'!$AN:$AN,0)),"")</f>
        <v/>
      </c>
      <c r="C13" s="81" t="str">
        <f ca="1">IF(B13="","",SUMIF(INDIRECT("'Points Lookup'!"&amp;VLOOKUP($B$2,Grades!A:BU,72,FALSE)&amp;":"&amp;VLOOKUP($B$2,Grades!A:BU,72,FALSE)),B13,INDIRECT("'Points Lookup'!"&amp;VLOOKUP($B$2,Grades!A:BU,73,FALSE)&amp;":"&amp;VLOOKUP($B$2,Grades!A:BU,73,FALSE))))</f>
        <v/>
      </c>
      <c r="D13" s="82" t="str">
        <f ca="1">IF(B13="","",IF(AND(VLOOKUP($B$2,Grades!$A:$BS,71,0)="Y",B13&lt;7),VLOOKUP($B13,Thresholds_Rates!$I$15:$J$18,2,FALSE),"-"))</f>
        <v/>
      </c>
      <c r="E13" s="81"/>
      <c r="F13" s="81" t="str">
        <f ca="1">IF($B13="","",IF(SUMIF(Grades!$A:$A,$B$2,Grades!$BO:$BO)=0,"-",IF(AND(VLOOKUP($B$2,Grades!$A:$BV,74,FALSE)="YES",B13&lt;Thresholds_Rates!$C$16),"-",$C13*Thresholds_Rates!$F$15)))</f>
        <v/>
      </c>
      <c r="G13" s="81" t="str">
        <f ca="1">IF(B13="","",IF($B$2="Salary Points 3 to 57","-",IF(SUMIF(Grades!$A:$A,$B$2,Grades!$BP:$BP)=0,"-",IF(AND(OR($B$2="New Consultant Contract"),$B13&lt;&gt;""),$C13*Thresholds_Rates!$F$16,IF(AND(OR($B$2="Clinical Lecturer / Medical Research Fellow",$B$2="Clinical Consultant - Old Contract (GP)"),$B13&lt;&gt;""),$C13*Thresholds_Rates!$F$16,IF(AND(OR($B$2="APM Level 7",$B$2="R&amp;T Level 7"),F13&lt;&gt;""),$C13*Thresholds_Rates!$F$16,IF(SUMIF(Grades!$A:$A,$B$2,Grades!$BP:$BP)=1,$C13*Thresholds_Rates!$F$16,"")))))))</f>
        <v/>
      </c>
      <c r="H13" s="81" t="str">
        <f ca="1">IF($B$2="Apprenticeship","-",IF(B13="","",IF(SUMIF(Grades!$A:$A,$B$2,Grades!$BQ:$BQ)=0,"-",IF(AND($B$2="Salary Points 3 to 57",B13&gt;Thresholds_Rates!$C$17),"-",IF(AND($B$2="Salary Points 3 to 57",B13&lt;=Thresholds_Rates!$C$17),$C13*Thresholds_Rates!$F$17,IF(AND(OR($B$2="New Consultant Contract"),$B13&lt;&gt;""),$C13*Thresholds_Rates!$F$17,IF(AND(OR($B$2="Clinical Lecturer / Medical Research Fellow",$B$2="Clinical Consultant - Old Contract (GP)"),$B13&lt;&gt;""),$C13*Thresholds_Rates!$F$17,IF(AND(OR($B$2="APM Level 7",$B$2="R&amp;T Level 7"),G13&lt;&gt;""),$C13*Thresholds_Rates!$F$17,IF(SUMIF(Grades!$A:$A,$B$2,Grades!$BQ:$BQ)=1,$C13*Thresholds_Rates!$F$17,"")))))))))</f>
        <v/>
      </c>
      <c r="I13" s="81" t="str">
        <f ca="1">IF($B13="","",IF($C13=0,0,ROUND(($C13-(Thresholds_Rates!$C$5*12))*Thresholds_Rates!$C$10,0)))</f>
        <v/>
      </c>
      <c r="J13" s="81" t="str">
        <f ca="1">IF(B13="","",(C13*Thresholds_Rates!$C$12))</f>
        <v/>
      </c>
      <c r="K13" s="81" t="str">
        <f ca="1">IF(B13="","",IF(AND($B$2="Salary Points 3 to 57",B13&gt;Thresholds_Rates!$C$17),"-",IF(SUMIF(Grades!$A:$A,$B$2,Grades!$BR:$BR)=0,"-",IF(AND($B$2="Salary Points 3 to 57",B13&lt;=Thresholds_Rates!$C$17),$C13*Thresholds_Rates!$F$18,IF(AND(OR($B$2="New Consultant Contract"),$B13&lt;&gt;""),$C13*Thresholds_Rates!$F$18,IF(AND(OR($B$2="Clinical Lecturer / Medical Research Fellow",$B$2="Clinical Consultant - Old Contract (GP)"),$B13&lt;&gt;""),$C13*Thresholds_Rates!$F$18,IF(AND(OR($B$2="APM Level 7",$B$2="R&amp;T Level 7"),I13&lt;&gt;""),$C13*Thresholds_Rates!$F$18,IF(SUMIF(Grades!$A:$A,$B$2,Grades!$BQ:$BQ)=1,$C13*Thresholds_Rates!$F$18,""))))))))</f>
        <v/>
      </c>
      <c r="L13" s="68"/>
      <c r="M13" s="81" t="str">
        <f t="shared" ca="1" si="0"/>
        <v/>
      </c>
      <c r="N13" s="81" t="str">
        <f t="shared" ca="1" si="1"/>
        <v/>
      </c>
      <c r="O13" s="81" t="str">
        <f t="shared" ca="1" si="2"/>
        <v/>
      </c>
      <c r="P13" s="81" t="str">
        <f t="shared" ca="1" si="3"/>
        <v/>
      </c>
      <c r="Q13" s="81" t="str">
        <f t="shared" ca="1" si="4"/>
        <v/>
      </c>
      <c r="S13" s="83" t="str">
        <f ca="1">IF(B13="","",IF($B$2="R&amp;T Level 5 - Clinical Lecturers (Vet School)",SUMIF('Points Lookup'!$V:$V,$B13,'Points Lookup'!$W:$W),IF($B$2="R&amp;T Level 6 - Clinical Associate Professors and Clinical Readers (Vet School)",SUMIF('Points Lookup'!$AC:$AC,$B13,'Points Lookup'!$AD:$AD),"")))</f>
        <v/>
      </c>
      <c r="T13" s="84" t="str">
        <f ca="1">IF(B13="","",IF($B$2="R&amp;T Level 5 - Clinical Lecturers (Vet School)",$C13-SUMIF('Points Lookup'!$V:$V,$B13,'Points Lookup'!$X:$X),IF($B$2="R&amp;T Level 6 - Clinical Associate Professors and Clinical Readers (Vet School)",$C13-SUMIF('Points Lookup'!$AC:$AC,$B13,'Points Lookup'!$AE:$AE),"")))</f>
        <v/>
      </c>
      <c r="U13" s="83" t="str">
        <f ca="1">IF(B13="","",IF($B$2="R&amp;T Level 5 - Clinical Lecturers (Vet School)",SUMIF('Points Lookup'!$V:$V,$B13,'Points Lookup'!$Z:$Z),IF($B$2="R&amp;T Level 6 - Clinical Associate Professors and Clinical Readers (Vet School)",SUMIF('Points Lookup'!$AC:$AC,$B13,'Points Lookup'!$AG:$AG),"")))</f>
        <v/>
      </c>
      <c r="V13" s="84" t="str">
        <f t="shared" ca="1" si="5"/>
        <v/>
      </c>
      <c r="X13" s="39"/>
      <c r="AA13" s="39">
        <v>7</v>
      </c>
    </row>
    <row r="14" spans="2:41" x14ac:dyDescent="0.25">
      <c r="B14" s="68" t="str">
        <f ca="1">IFERROR(INDEX('Points Lookup'!$A:$A,MATCH($AA14,'Points Lookup'!$AN:$AN,0)),"")</f>
        <v/>
      </c>
      <c r="C14" s="81" t="str">
        <f ca="1">IF(B14="","",SUMIF(INDIRECT("'Points Lookup'!"&amp;VLOOKUP($B$2,Grades!A:BU,72,FALSE)&amp;":"&amp;VLOOKUP($B$2,Grades!A:BU,72,FALSE)),B14,INDIRECT("'Points Lookup'!"&amp;VLOOKUP($B$2,Grades!A:BU,73,FALSE)&amp;":"&amp;VLOOKUP($B$2,Grades!A:BU,73,FALSE))))</f>
        <v/>
      </c>
      <c r="D14" s="82" t="str">
        <f ca="1">IF(B14="","",IF(AND(VLOOKUP($B$2,Grades!$A:$BS,71,0)="Y",B14&lt;7),VLOOKUP($B14,Thresholds_Rates!$I$15:$J$18,2,FALSE),"-"))</f>
        <v/>
      </c>
      <c r="E14" s="81"/>
      <c r="F14" s="81" t="str">
        <f ca="1">IF($B14="","",IF(SUMIF(Grades!$A:$A,$B$2,Grades!$BO:$BO)=0,"-",IF(AND(VLOOKUP($B$2,Grades!$A:$BV,74,FALSE)="YES",B14&lt;Thresholds_Rates!$C$16),"-",$C14*Thresholds_Rates!$F$15)))</f>
        <v/>
      </c>
      <c r="G14" s="81" t="str">
        <f ca="1">IF(B14="","",IF($B$2="Salary Points 3 to 57","-",IF(SUMIF(Grades!$A:$A,$B$2,Grades!$BP:$BP)=0,"-",IF(AND(OR($B$2="New Consultant Contract"),$B14&lt;&gt;""),$C14*Thresholds_Rates!$F$16,IF(AND(OR($B$2="Clinical Lecturer / Medical Research Fellow",$B$2="Clinical Consultant - Old Contract (GP)"),$B14&lt;&gt;""),$C14*Thresholds_Rates!$F$16,IF(AND(OR($B$2="APM Level 7",$B$2="R&amp;T Level 7"),F14&lt;&gt;""),$C14*Thresholds_Rates!$F$16,IF(SUMIF(Grades!$A:$A,$B$2,Grades!$BP:$BP)=1,$C14*Thresholds_Rates!$F$16,"")))))))</f>
        <v/>
      </c>
      <c r="H14" s="81" t="str">
        <f ca="1">IF($B$2="Apprenticeship","-",IF(B14="","",IF(SUMIF(Grades!$A:$A,$B$2,Grades!$BQ:$BQ)=0,"-",IF(AND($B$2="Salary Points 3 to 57",B14&gt;Thresholds_Rates!$C$17),"-",IF(AND($B$2="Salary Points 3 to 57",B14&lt;=Thresholds_Rates!$C$17),$C14*Thresholds_Rates!$F$17,IF(AND(OR($B$2="New Consultant Contract"),$B14&lt;&gt;""),$C14*Thresholds_Rates!$F$17,IF(AND(OR($B$2="Clinical Lecturer / Medical Research Fellow",$B$2="Clinical Consultant - Old Contract (GP)"),$B14&lt;&gt;""),$C14*Thresholds_Rates!$F$17,IF(AND(OR($B$2="APM Level 7",$B$2="R&amp;T Level 7"),G14&lt;&gt;""),$C14*Thresholds_Rates!$F$17,IF(SUMIF(Grades!$A:$A,$B$2,Grades!$BQ:$BQ)=1,$C14*Thresholds_Rates!$F$17,"")))))))))</f>
        <v/>
      </c>
      <c r="I14" s="81" t="str">
        <f ca="1">IF($B14="","",IF($C14=0,0,ROUND(($C14-(Thresholds_Rates!$C$5*12))*Thresholds_Rates!$C$10,0)))</f>
        <v/>
      </c>
      <c r="J14" s="81" t="str">
        <f ca="1">IF(B14="","",(C14*Thresholds_Rates!$C$12))</f>
        <v/>
      </c>
      <c r="K14" s="81" t="str">
        <f ca="1">IF(B14="","",IF(AND($B$2="Salary Points 3 to 57",B14&gt;Thresholds_Rates!$C$17),"-",IF(SUMIF(Grades!$A:$A,$B$2,Grades!$BR:$BR)=0,"-",IF(AND($B$2="Salary Points 3 to 57",B14&lt;=Thresholds_Rates!$C$17),$C14*Thresholds_Rates!$F$18,IF(AND(OR($B$2="New Consultant Contract"),$B14&lt;&gt;""),$C14*Thresholds_Rates!$F$18,IF(AND(OR($B$2="Clinical Lecturer / Medical Research Fellow",$B$2="Clinical Consultant - Old Contract (GP)"),$B14&lt;&gt;""),$C14*Thresholds_Rates!$F$18,IF(AND(OR($B$2="APM Level 7",$B$2="R&amp;T Level 7"),I14&lt;&gt;""),$C14*Thresholds_Rates!$F$18,IF(SUMIF(Grades!$A:$A,$B$2,Grades!$BQ:$BQ)=1,$C14*Thresholds_Rates!$F$18,""))))))))</f>
        <v/>
      </c>
      <c r="L14" s="68"/>
      <c r="M14" s="81" t="str">
        <f t="shared" ca="1" si="0"/>
        <v/>
      </c>
      <c r="N14" s="81" t="str">
        <f t="shared" ca="1" si="1"/>
        <v/>
      </c>
      <c r="O14" s="81" t="str">
        <f t="shared" ca="1" si="2"/>
        <v/>
      </c>
      <c r="P14" s="81" t="str">
        <f t="shared" ca="1" si="3"/>
        <v/>
      </c>
      <c r="Q14" s="81" t="str">
        <f t="shared" ca="1" si="4"/>
        <v/>
      </c>
      <c r="S14" s="83" t="str">
        <f ca="1">IF(B14="","",IF($B$2="R&amp;T Level 5 - Clinical Lecturers (Vet School)",SUMIF('Points Lookup'!$V:$V,$B14,'Points Lookup'!$W:$W),IF($B$2="R&amp;T Level 6 - Clinical Associate Professors and Clinical Readers (Vet School)",SUMIF('Points Lookup'!$AC:$AC,$B14,'Points Lookup'!$AD:$AD),"")))</f>
        <v/>
      </c>
      <c r="T14" s="84" t="str">
        <f ca="1">IF(B14="","",IF($B$2="R&amp;T Level 5 - Clinical Lecturers (Vet School)",$C14-SUMIF('Points Lookup'!$V:$V,$B14,'Points Lookup'!$X:$X),IF($B$2="R&amp;T Level 6 - Clinical Associate Professors and Clinical Readers (Vet School)",$C14-SUMIF('Points Lookup'!$AC:$AC,$B14,'Points Lookup'!$AE:$AE),"")))</f>
        <v/>
      </c>
      <c r="U14" s="83" t="str">
        <f ca="1">IF(B14="","",IF($B$2="R&amp;T Level 5 - Clinical Lecturers (Vet School)",SUMIF('Points Lookup'!$V:$V,$B14,'Points Lookup'!$Z:$Z),IF($B$2="R&amp;T Level 6 - Clinical Associate Professors and Clinical Readers (Vet School)",SUMIF('Points Lookup'!$AC:$AC,$B14,'Points Lookup'!$AG:$AG),"")))</f>
        <v/>
      </c>
      <c r="V14" s="84" t="str">
        <f t="shared" ca="1" si="5"/>
        <v/>
      </c>
      <c r="X14" s="39"/>
      <c r="AA14" s="39">
        <v>8</v>
      </c>
    </row>
    <row r="15" spans="2:41" x14ac:dyDescent="0.25">
      <c r="B15" s="68" t="str">
        <f ca="1">IFERROR(INDEX('Points Lookup'!$A:$A,MATCH($AA15,'Points Lookup'!$AN:$AN,0)),"")</f>
        <v/>
      </c>
      <c r="C15" s="81" t="str">
        <f ca="1">IF(B15="","",SUMIF(INDIRECT("'Points Lookup'!"&amp;VLOOKUP($B$2,Grades!A:BU,72,FALSE)&amp;":"&amp;VLOOKUP($B$2,Grades!A:BU,72,FALSE)),B15,INDIRECT("'Points Lookup'!"&amp;VLOOKUP($B$2,Grades!A:BU,73,FALSE)&amp;":"&amp;VLOOKUP($B$2,Grades!A:BU,73,FALSE))))</f>
        <v/>
      </c>
      <c r="D15" s="82" t="str">
        <f ca="1">IF(B15="","",IF(AND(VLOOKUP($B$2,Grades!$A:$BS,71,0)="Y",B15&lt;7),VLOOKUP($B15,Thresholds_Rates!$I$15:$J$18,2,FALSE),"-"))</f>
        <v/>
      </c>
      <c r="E15" s="81"/>
      <c r="F15" s="81" t="str">
        <f ca="1">IF($B15="","",IF(SUMIF(Grades!$A:$A,$B$2,Grades!$BO:$BO)=0,"-",IF(AND(VLOOKUP($B$2,Grades!$A:$BV,74,FALSE)="YES",B15&lt;Thresholds_Rates!$C$16),"-",$C15*Thresholds_Rates!$F$15)))</f>
        <v/>
      </c>
      <c r="G15" s="81" t="str">
        <f ca="1">IF(B15="","",IF($B$2="Salary Points 3 to 57","-",IF(SUMIF(Grades!$A:$A,$B$2,Grades!$BP:$BP)=0,"-",IF(AND(OR($B$2="New Consultant Contract"),$B15&lt;&gt;""),$C15*Thresholds_Rates!$F$16,IF(AND(OR($B$2="Clinical Lecturer / Medical Research Fellow",$B$2="Clinical Consultant - Old Contract (GP)"),$B15&lt;&gt;""),$C15*Thresholds_Rates!$F$16,IF(AND(OR($B$2="APM Level 7",$B$2="R&amp;T Level 7"),F15&lt;&gt;""),$C15*Thresholds_Rates!$F$16,IF(SUMIF(Grades!$A:$A,$B$2,Grades!$BP:$BP)=1,$C15*Thresholds_Rates!$F$16,"")))))))</f>
        <v/>
      </c>
      <c r="H15" s="81" t="str">
        <f ca="1">IF($B$2="Apprenticeship","-",IF(B15="","",IF(SUMIF(Grades!$A:$A,$B$2,Grades!$BQ:$BQ)=0,"-",IF(AND($B$2="Salary Points 3 to 57",B15&gt;Thresholds_Rates!$C$17),"-",IF(AND($B$2="Salary Points 3 to 57",B15&lt;=Thresholds_Rates!$C$17),$C15*Thresholds_Rates!$F$17,IF(AND(OR($B$2="New Consultant Contract"),$B15&lt;&gt;""),$C15*Thresholds_Rates!$F$17,IF(AND(OR($B$2="Clinical Lecturer / Medical Research Fellow",$B$2="Clinical Consultant - Old Contract (GP)"),$B15&lt;&gt;""),$C15*Thresholds_Rates!$F$17,IF(AND(OR($B$2="APM Level 7",$B$2="R&amp;T Level 7"),G15&lt;&gt;""),$C15*Thresholds_Rates!$F$17,IF(SUMIF(Grades!$A:$A,$B$2,Grades!$BQ:$BQ)=1,$C15*Thresholds_Rates!$F$17,"")))))))))</f>
        <v/>
      </c>
      <c r="I15" s="81" t="str">
        <f ca="1">IF($B15="","",IF($C15=0,0,ROUND(($C15-(Thresholds_Rates!$C$5*12))*Thresholds_Rates!$C$10,0)))</f>
        <v/>
      </c>
      <c r="J15" s="81" t="str">
        <f ca="1">IF(B15="","",(C15*Thresholds_Rates!$C$12))</f>
        <v/>
      </c>
      <c r="K15" s="81" t="str">
        <f ca="1">IF(B15="","",IF(AND($B$2="Salary Points 3 to 57",B15&gt;Thresholds_Rates!$C$17),"-",IF(SUMIF(Grades!$A:$A,$B$2,Grades!$BR:$BR)=0,"-",IF(AND($B$2="Salary Points 3 to 57",B15&lt;=Thresholds_Rates!$C$17),$C15*Thresholds_Rates!$F$18,IF(AND(OR($B$2="New Consultant Contract"),$B15&lt;&gt;""),$C15*Thresholds_Rates!$F$18,IF(AND(OR($B$2="Clinical Lecturer / Medical Research Fellow",$B$2="Clinical Consultant - Old Contract (GP)"),$B15&lt;&gt;""),$C15*Thresholds_Rates!$F$18,IF(AND(OR($B$2="APM Level 7",$B$2="R&amp;T Level 7"),I15&lt;&gt;""),$C15*Thresholds_Rates!$F$18,IF(SUMIF(Grades!$A:$A,$B$2,Grades!$BQ:$BQ)=1,$C15*Thresholds_Rates!$F$18,""))))))))</f>
        <v/>
      </c>
      <c r="L15" s="68"/>
      <c r="M15" s="81" t="str">
        <f t="shared" ca="1" si="0"/>
        <v/>
      </c>
      <c r="N15" s="81" t="str">
        <f t="shared" ca="1" si="1"/>
        <v/>
      </c>
      <c r="O15" s="81" t="str">
        <f t="shared" ca="1" si="2"/>
        <v/>
      </c>
      <c r="P15" s="81" t="str">
        <f t="shared" ca="1" si="3"/>
        <v/>
      </c>
      <c r="Q15" s="81" t="str">
        <f t="shared" ca="1" si="4"/>
        <v/>
      </c>
      <c r="S15" s="83" t="str">
        <f ca="1">IF(B15="","",IF($B$2="R&amp;T Level 5 - Clinical Lecturers (Vet School)",SUMIF('Points Lookup'!$V:$V,$B15,'Points Lookup'!$W:$W),IF($B$2="R&amp;T Level 6 - Clinical Associate Professors and Clinical Readers (Vet School)",SUMIF('Points Lookup'!$AC:$AC,$B15,'Points Lookup'!$AD:$AD),"")))</f>
        <v/>
      </c>
      <c r="T15" s="84" t="str">
        <f ca="1">IF(B15="","",IF($B$2="R&amp;T Level 5 - Clinical Lecturers (Vet School)",$C15-SUMIF('Points Lookup'!$V:$V,$B15,'Points Lookup'!$X:$X),IF($B$2="R&amp;T Level 6 - Clinical Associate Professors and Clinical Readers (Vet School)",$C15-SUMIF('Points Lookup'!$AC:$AC,$B15,'Points Lookup'!$AE:$AE),"")))</f>
        <v/>
      </c>
      <c r="U15" s="83" t="str">
        <f ca="1">IF(B15="","",IF($B$2="R&amp;T Level 5 - Clinical Lecturers (Vet School)",SUMIF('Points Lookup'!$V:$V,$B15,'Points Lookup'!$Z:$Z),IF($B$2="R&amp;T Level 6 - Clinical Associate Professors and Clinical Readers (Vet School)",SUMIF('Points Lookup'!$AC:$AC,$B15,'Points Lookup'!$AG:$AG),"")))</f>
        <v/>
      </c>
      <c r="V15" s="84" t="str">
        <f t="shared" ca="1" si="5"/>
        <v/>
      </c>
      <c r="X15" s="39"/>
      <c r="AA15" s="39">
        <v>9</v>
      </c>
    </row>
    <row r="16" spans="2:41" x14ac:dyDescent="0.25">
      <c r="B16" s="68" t="str">
        <f ca="1">IFERROR(INDEX('Points Lookup'!$A:$A,MATCH($AA16,'Points Lookup'!$AN:$AN,0)),"")</f>
        <v/>
      </c>
      <c r="C16" s="81" t="str">
        <f ca="1">IF(B16="","",SUMIF(INDIRECT("'Points Lookup'!"&amp;VLOOKUP($B$2,Grades!A:BU,72,FALSE)&amp;":"&amp;VLOOKUP($B$2,Grades!A:BU,72,FALSE)),B16,INDIRECT("'Points Lookup'!"&amp;VLOOKUP($B$2,Grades!A:BU,73,FALSE)&amp;":"&amp;VLOOKUP($B$2,Grades!A:BU,73,FALSE))))</f>
        <v/>
      </c>
      <c r="D16" s="82" t="str">
        <f ca="1">IF(B16="","",IF(AND(VLOOKUP($B$2,Grades!$A:$BS,71,0)="Y",B16&lt;7),VLOOKUP($B16,Thresholds_Rates!$I$15:$J$18,2,FALSE),"-"))</f>
        <v/>
      </c>
      <c r="E16" s="81"/>
      <c r="F16" s="81" t="str">
        <f ca="1">IF($B16="","",IF(SUMIF(Grades!$A:$A,$B$2,Grades!$BO:$BO)=0,"-",IF(AND(VLOOKUP($B$2,Grades!$A:$BV,74,FALSE)="YES",B16&lt;Thresholds_Rates!$C$16),"-",$C16*Thresholds_Rates!$F$15)))</f>
        <v/>
      </c>
      <c r="G16" s="81" t="str">
        <f ca="1">IF(B16="","",IF($B$2="Salary Points 3 to 57","-",IF(SUMIF(Grades!$A:$A,$B$2,Grades!$BP:$BP)=0,"-",IF(AND(OR($B$2="New Consultant Contract"),$B16&lt;&gt;""),$C16*Thresholds_Rates!$F$16,IF(AND(OR($B$2="Clinical Lecturer / Medical Research Fellow",$B$2="Clinical Consultant - Old Contract (GP)"),$B16&lt;&gt;""),$C16*Thresholds_Rates!$F$16,IF(AND(OR($B$2="APM Level 7",$B$2="R&amp;T Level 7"),F16&lt;&gt;""),$C16*Thresholds_Rates!$F$16,IF(SUMIF(Grades!$A:$A,$B$2,Grades!$BP:$BP)=1,$C16*Thresholds_Rates!$F$16,"")))))))</f>
        <v/>
      </c>
      <c r="H16" s="81" t="str">
        <f ca="1">IF($B$2="Apprenticeship","-",IF(B16="","",IF(SUMIF(Grades!$A:$A,$B$2,Grades!$BQ:$BQ)=0,"-",IF(AND($B$2="Salary Points 3 to 57",B16&gt;Thresholds_Rates!$C$17),"-",IF(AND($B$2="Salary Points 3 to 57",B16&lt;=Thresholds_Rates!$C$17),$C16*Thresholds_Rates!$F$17,IF(AND(OR($B$2="New Consultant Contract"),$B16&lt;&gt;""),$C16*Thresholds_Rates!$F$17,IF(AND(OR($B$2="Clinical Lecturer / Medical Research Fellow",$B$2="Clinical Consultant - Old Contract (GP)"),$B16&lt;&gt;""),$C16*Thresholds_Rates!$F$17,IF(AND(OR($B$2="APM Level 7",$B$2="R&amp;T Level 7"),G16&lt;&gt;""),$C16*Thresholds_Rates!$F$17,IF(SUMIF(Grades!$A:$A,$B$2,Grades!$BQ:$BQ)=1,$C16*Thresholds_Rates!$F$17,"")))))))))</f>
        <v/>
      </c>
      <c r="I16" s="81" t="str">
        <f ca="1">IF($B16="","",IF($C16=0,0,ROUND(($C16-(Thresholds_Rates!$C$5*12))*Thresholds_Rates!$C$10,0)))</f>
        <v/>
      </c>
      <c r="J16" s="81" t="str">
        <f ca="1">IF(B16="","",(C16*Thresholds_Rates!$C$12))</f>
        <v/>
      </c>
      <c r="K16" s="81" t="str">
        <f ca="1">IF(B16="","",IF(AND($B$2="Salary Points 3 to 57",B16&gt;Thresholds_Rates!$C$17),"-",IF(SUMIF(Grades!$A:$A,$B$2,Grades!$BR:$BR)=0,"-",IF(AND($B$2="Salary Points 3 to 57",B16&lt;=Thresholds_Rates!$C$17),$C16*Thresholds_Rates!$F$18,IF(AND(OR($B$2="New Consultant Contract"),$B16&lt;&gt;""),$C16*Thresholds_Rates!$F$18,IF(AND(OR($B$2="Clinical Lecturer / Medical Research Fellow",$B$2="Clinical Consultant - Old Contract (GP)"),$B16&lt;&gt;""),$C16*Thresholds_Rates!$F$18,IF(AND(OR($B$2="APM Level 7",$B$2="R&amp;T Level 7"),I16&lt;&gt;""),$C16*Thresholds_Rates!$F$18,IF(SUMIF(Grades!$A:$A,$B$2,Grades!$BQ:$BQ)=1,$C16*Thresholds_Rates!$F$18,""))))))))</f>
        <v/>
      </c>
      <c r="L16" s="68"/>
      <c r="M16" s="81" t="str">
        <f t="shared" ca="1" si="0"/>
        <v/>
      </c>
      <c r="N16" s="81" t="str">
        <f t="shared" ca="1" si="1"/>
        <v/>
      </c>
      <c r="O16" s="81" t="str">
        <f t="shared" ca="1" si="2"/>
        <v/>
      </c>
      <c r="P16" s="81" t="str">
        <f t="shared" ca="1" si="3"/>
        <v/>
      </c>
      <c r="Q16" s="81" t="str">
        <f t="shared" ca="1" si="4"/>
        <v/>
      </c>
      <c r="S16" s="83" t="str">
        <f ca="1">IF(B16="","",IF($B$2="R&amp;T Level 5 - Clinical Lecturers (Vet School)",SUMIF('Points Lookup'!$V:$V,$B16,'Points Lookup'!$W:$W),IF($B$2="R&amp;T Level 6 - Clinical Associate Professors and Clinical Readers (Vet School)",SUMIF('Points Lookup'!$AC:$AC,$B16,'Points Lookup'!$AD:$AD),"")))</f>
        <v/>
      </c>
      <c r="T16" s="84" t="str">
        <f ca="1">IF(B16="","",IF($B$2="R&amp;T Level 5 - Clinical Lecturers (Vet School)",$C16-SUMIF('Points Lookup'!$V:$V,$B16,'Points Lookup'!$X:$X),IF($B$2="R&amp;T Level 6 - Clinical Associate Professors and Clinical Readers (Vet School)",$C16-SUMIF('Points Lookup'!$AC:$AC,$B16,'Points Lookup'!$AE:$AE),"")))</f>
        <v/>
      </c>
      <c r="U16" s="83" t="str">
        <f ca="1">IF(B16="","",IF($B$2="R&amp;T Level 5 - Clinical Lecturers (Vet School)",SUMIF('Points Lookup'!$V:$V,$B16,'Points Lookup'!$Z:$Z),IF($B$2="R&amp;T Level 6 - Clinical Associate Professors and Clinical Readers (Vet School)",SUMIF('Points Lookup'!$AC:$AC,$B16,'Points Lookup'!$AG:$AG),"")))</f>
        <v/>
      </c>
      <c r="V16" s="84" t="str">
        <f t="shared" ca="1" si="5"/>
        <v/>
      </c>
      <c r="X16" s="39"/>
      <c r="AA16" s="39">
        <v>10</v>
      </c>
    </row>
    <row r="17" spans="2:27" x14ac:dyDescent="0.25">
      <c r="B17" s="68" t="str">
        <f ca="1">IFERROR(INDEX('Points Lookup'!$A:$A,MATCH($AA17,'Points Lookup'!$AN:$AN,0)),"")</f>
        <v/>
      </c>
      <c r="C17" s="81" t="str">
        <f ca="1">IF(B17="","",SUMIF(INDIRECT("'Points Lookup'!"&amp;VLOOKUP($B$2,Grades!A:BU,72,FALSE)&amp;":"&amp;VLOOKUP($B$2,Grades!A:BU,72,FALSE)),B17,INDIRECT("'Points Lookup'!"&amp;VLOOKUP($B$2,Grades!A:BU,73,FALSE)&amp;":"&amp;VLOOKUP($B$2,Grades!A:BU,73,FALSE))))</f>
        <v/>
      </c>
      <c r="D17" s="82" t="str">
        <f ca="1">IF(B17="","",IF(AND(VLOOKUP($B$2,Grades!$A:$BS,71,0)="Y",B17&lt;7),VLOOKUP($B17,Thresholds_Rates!$I$15:$J$18,2,FALSE),"-"))</f>
        <v/>
      </c>
      <c r="E17" s="81"/>
      <c r="F17" s="81" t="str">
        <f ca="1">IF($B17="","",IF(SUMIF(Grades!$A:$A,$B$2,Grades!$BO:$BO)=0,"-",IF(AND(VLOOKUP($B$2,Grades!$A:$BV,74,FALSE)="YES",B17&lt;Thresholds_Rates!$C$16),"-",$C17*Thresholds_Rates!$F$15)))</f>
        <v/>
      </c>
      <c r="G17" s="81" t="str">
        <f ca="1">IF(B17="","",IF($B$2="Salary Points 3 to 57","-",IF(SUMIF(Grades!$A:$A,$B$2,Grades!$BP:$BP)=0,"-",IF(AND(OR($B$2="New Consultant Contract"),$B17&lt;&gt;""),$C17*Thresholds_Rates!$F$16,IF(AND(OR($B$2="Clinical Lecturer / Medical Research Fellow",$B$2="Clinical Consultant - Old Contract (GP)"),$B17&lt;&gt;""),$C17*Thresholds_Rates!$F$16,IF(AND(OR($B$2="APM Level 7",$B$2="R&amp;T Level 7"),F17&lt;&gt;""),$C17*Thresholds_Rates!$F$16,IF(SUMIF(Grades!$A:$A,$B$2,Grades!$BP:$BP)=1,$C17*Thresholds_Rates!$F$16,"")))))))</f>
        <v/>
      </c>
      <c r="H17" s="81" t="str">
        <f ca="1">IF($B$2="Apprenticeship","-",IF(B17="","",IF(SUMIF(Grades!$A:$A,$B$2,Grades!$BQ:$BQ)=0,"-",IF(AND($B$2="Salary Points 3 to 57",B17&gt;Thresholds_Rates!$C$17),"-",IF(AND($B$2="Salary Points 3 to 57",B17&lt;=Thresholds_Rates!$C$17),$C17*Thresholds_Rates!$F$17,IF(AND(OR($B$2="New Consultant Contract"),$B17&lt;&gt;""),$C17*Thresholds_Rates!$F$17,IF(AND(OR($B$2="Clinical Lecturer / Medical Research Fellow",$B$2="Clinical Consultant - Old Contract (GP)"),$B17&lt;&gt;""),$C17*Thresholds_Rates!$F$17,IF(AND(OR($B$2="APM Level 7",$B$2="R&amp;T Level 7"),G17&lt;&gt;""),$C17*Thresholds_Rates!$F$17,IF(SUMIF(Grades!$A:$A,$B$2,Grades!$BQ:$BQ)=1,$C17*Thresholds_Rates!$F$17,"")))))))))</f>
        <v/>
      </c>
      <c r="I17" s="81" t="str">
        <f ca="1">IF($B17="","",IF($C17=0,0,ROUND(($C17-(Thresholds_Rates!$C$5*12))*Thresholds_Rates!$C$10,0)))</f>
        <v/>
      </c>
      <c r="J17" s="81" t="str">
        <f ca="1">IF(B17="","",(C17*Thresholds_Rates!$C$12))</f>
        <v/>
      </c>
      <c r="K17" s="81" t="str">
        <f ca="1">IF(B17="","",IF(AND($B$2="Salary Points 3 to 57",B17&gt;Thresholds_Rates!$C$17),"-",IF(SUMIF(Grades!$A:$A,$B$2,Grades!$BR:$BR)=0,"-",IF(AND($B$2="Salary Points 3 to 57",B17&lt;=Thresholds_Rates!$C$17),$C17*Thresholds_Rates!$F$18,IF(AND(OR($B$2="New Consultant Contract"),$B17&lt;&gt;""),$C17*Thresholds_Rates!$F$18,IF(AND(OR($B$2="Clinical Lecturer / Medical Research Fellow",$B$2="Clinical Consultant - Old Contract (GP)"),$B17&lt;&gt;""),$C17*Thresholds_Rates!$F$18,IF(AND(OR($B$2="APM Level 7",$B$2="R&amp;T Level 7"),I17&lt;&gt;""),$C17*Thresholds_Rates!$F$18,IF(SUMIF(Grades!$A:$A,$B$2,Grades!$BQ:$BQ)=1,$C17*Thresholds_Rates!$F$18,""))))))))</f>
        <v/>
      </c>
      <c r="L17" s="68"/>
      <c r="M17" s="81" t="str">
        <f t="shared" ca="1" si="0"/>
        <v/>
      </c>
      <c r="N17" s="81" t="str">
        <f t="shared" ca="1" si="1"/>
        <v/>
      </c>
      <c r="O17" s="81" t="str">
        <f t="shared" ca="1" si="2"/>
        <v/>
      </c>
      <c r="P17" s="81" t="str">
        <f t="shared" ca="1" si="3"/>
        <v/>
      </c>
      <c r="Q17" s="81" t="str">
        <f t="shared" ca="1" si="4"/>
        <v/>
      </c>
      <c r="S17" s="83" t="str">
        <f ca="1">IF(B17="","",IF($B$2="R&amp;T Level 5 - Clinical Lecturers (Vet School)",SUMIF('Points Lookup'!$V:$V,$B17,'Points Lookup'!$W:$W),IF($B$2="R&amp;T Level 6 - Clinical Associate Professors and Clinical Readers (Vet School)",SUMIF('Points Lookup'!$AC:$AC,$B17,'Points Lookup'!$AD:$AD),"")))</f>
        <v/>
      </c>
      <c r="T17" s="84" t="str">
        <f ca="1">IF(B17="","",IF($B$2="R&amp;T Level 5 - Clinical Lecturers (Vet School)",$C17-SUMIF('Points Lookup'!$V:$V,$B17,'Points Lookup'!$X:$X),IF($B$2="R&amp;T Level 6 - Clinical Associate Professors and Clinical Readers (Vet School)",$C17-SUMIF('Points Lookup'!$AC:$AC,$B17,'Points Lookup'!$AE:$AE),"")))</f>
        <v/>
      </c>
      <c r="U17" s="83" t="str">
        <f ca="1">IF(B17="","",IF($B$2="R&amp;T Level 5 - Clinical Lecturers (Vet School)",SUMIF('Points Lookup'!$V:$V,$B17,'Points Lookup'!$Z:$Z),IF($B$2="R&amp;T Level 6 - Clinical Associate Professors and Clinical Readers (Vet School)",SUMIF('Points Lookup'!$AC:$AC,$B17,'Points Lookup'!$AG:$AG),"")))</f>
        <v/>
      </c>
      <c r="V17" s="84" t="str">
        <f t="shared" ca="1" si="5"/>
        <v/>
      </c>
      <c r="AA17" s="39">
        <v>11</v>
      </c>
    </row>
    <row r="18" spans="2:27" x14ac:dyDescent="0.25">
      <c r="B18" s="68" t="str">
        <f ca="1">IFERROR(INDEX('Points Lookup'!$A:$A,MATCH($AA18,'Points Lookup'!$AN:$AN,0)),"")</f>
        <v/>
      </c>
      <c r="C18" s="81" t="str">
        <f ca="1">IF(B18="","",SUMIF(INDIRECT("'Points Lookup'!"&amp;VLOOKUP($B$2,Grades!A:BU,72,FALSE)&amp;":"&amp;VLOOKUP($B$2,Grades!A:BU,72,FALSE)),B18,INDIRECT("'Points Lookup'!"&amp;VLOOKUP($B$2,Grades!A:BU,73,FALSE)&amp;":"&amp;VLOOKUP($B$2,Grades!A:BU,73,FALSE))))</f>
        <v/>
      </c>
      <c r="D18" s="82" t="str">
        <f ca="1">IF(B18="","",IF(AND(VLOOKUP($B$2,Grades!$A:$BS,71,0)="Y",B18&lt;7),VLOOKUP($B18,Thresholds_Rates!$I$15:$J$18,2,FALSE),"-"))</f>
        <v/>
      </c>
      <c r="E18" s="81"/>
      <c r="F18" s="81" t="str">
        <f ca="1">IF($B18="","",IF(SUMIF(Grades!$A:$A,$B$2,Grades!$BO:$BO)=0,"-",IF(AND(VLOOKUP($B$2,Grades!$A:$BV,74,FALSE)="YES",B18&lt;Thresholds_Rates!$C$16),"-",$C18*Thresholds_Rates!$F$15)))</f>
        <v/>
      </c>
      <c r="G18" s="81" t="str">
        <f ca="1">IF(B18="","",IF($B$2="Salary Points 3 to 57","-",IF(SUMIF(Grades!$A:$A,$B$2,Grades!$BP:$BP)=0,"-",IF(AND(OR($B$2="New Consultant Contract"),$B18&lt;&gt;""),$C18*Thresholds_Rates!$F$16,IF(AND(OR($B$2="Clinical Lecturer / Medical Research Fellow",$B$2="Clinical Consultant - Old Contract (GP)"),$B18&lt;&gt;""),$C18*Thresholds_Rates!$F$16,IF(AND(OR($B$2="APM Level 7",$B$2="R&amp;T Level 7"),F18&lt;&gt;""),$C18*Thresholds_Rates!$F$16,IF(SUMIF(Grades!$A:$A,$B$2,Grades!$BP:$BP)=1,$C18*Thresholds_Rates!$F$16,"")))))))</f>
        <v/>
      </c>
      <c r="H18" s="81" t="str">
        <f ca="1">IF($B$2="Apprenticeship","-",IF(B18="","",IF(SUMIF(Grades!$A:$A,$B$2,Grades!$BQ:$BQ)=0,"-",IF(AND($B$2="Salary Points 3 to 57",B18&gt;Thresholds_Rates!$C$17),"-",IF(AND($B$2="Salary Points 3 to 57",B18&lt;=Thresholds_Rates!$C$17),$C18*Thresholds_Rates!$F$17,IF(AND(OR($B$2="New Consultant Contract"),$B18&lt;&gt;""),$C18*Thresholds_Rates!$F$17,IF(AND(OR($B$2="Clinical Lecturer / Medical Research Fellow",$B$2="Clinical Consultant - Old Contract (GP)"),$B18&lt;&gt;""),$C18*Thresholds_Rates!$F$17,IF(AND(OR($B$2="APM Level 7",$B$2="R&amp;T Level 7"),G18&lt;&gt;""),$C18*Thresholds_Rates!$F$17,IF(SUMIF(Grades!$A:$A,$B$2,Grades!$BQ:$BQ)=1,$C18*Thresholds_Rates!$F$17,"")))))))))</f>
        <v/>
      </c>
      <c r="I18" s="81" t="str">
        <f ca="1">IF($B18="","",IF($C18=0,0,ROUND(($C18-(Thresholds_Rates!$C$5*12))*Thresholds_Rates!$C$10,0)))</f>
        <v/>
      </c>
      <c r="J18" s="81" t="str">
        <f ca="1">IF(B18="","",(C18*Thresholds_Rates!$C$12))</f>
        <v/>
      </c>
      <c r="K18" s="81" t="str">
        <f ca="1">IF(B18="","",IF(AND($B$2="Salary Points 3 to 57",B18&gt;Thresholds_Rates!$C$17),"-",IF(SUMIF(Grades!$A:$A,$B$2,Grades!$BR:$BR)=0,"-",IF(AND($B$2="Salary Points 3 to 57",B18&lt;=Thresholds_Rates!$C$17),$C18*Thresholds_Rates!$F$18,IF(AND(OR($B$2="New Consultant Contract"),$B18&lt;&gt;""),$C18*Thresholds_Rates!$F$18,IF(AND(OR($B$2="Clinical Lecturer / Medical Research Fellow",$B$2="Clinical Consultant - Old Contract (GP)"),$B18&lt;&gt;""),$C18*Thresholds_Rates!$F$18,IF(AND(OR($B$2="APM Level 7",$B$2="R&amp;T Level 7"),I18&lt;&gt;""),$C18*Thresholds_Rates!$F$18,IF(SUMIF(Grades!$A:$A,$B$2,Grades!$BQ:$BQ)=1,$C18*Thresholds_Rates!$F$18,""))))))))</f>
        <v/>
      </c>
      <c r="L18" s="68"/>
      <c r="M18" s="81" t="str">
        <f t="shared" ca="1" si="0"/>
        <v/>
      </c>
      <c r="N18" s="81" t="str">
        <f t="shared" ca="1" si="1"/>
        <v/>
      </c>
      <c r="O18" s="81" t="str">
        <f t="shared" ca="1" si="2"/>
        <v/>
      </c>
      <c r="P18" s="81" t="str">
        <f t="shared" ca="1" si="3"/>
        <v/>
      </c>
      <c r="Q18" s="81" t="str">
        <f t="shared" ca="1" si="4"/>
        <v/>
      </c>
      <c r="S18" s="83" t="str">
        <f ca="1">IF(B18="","",IF($B$2="R&amp;T Level 5 - Clinical Lecturers (Vet School)",SUMIF('Points Lookup'!$V:$V,$B18,'Points Lookup'!$W:$W),IF($B$2="R&amp;T Level 6 - Clinical Associate Professors and Clinical Readers (Vet School)",SUMIF('Points Lookup'!$AC:$AC,$B18,'Points Lookup'!$AD:$AD),"")))</f>
        <v/>
      </c>
      <c r="T18" s="84" t="str">
        <f ca="1">IF(B18="","",IF($B$2="R&amp;T Level 5 - Clinical Lecturers (Vet School)",$C18-SUMIF('Points Lookup'!$V:$V,$B18,'Points Lookup'!$X:$X),IF($B$2="R&amp;T Level 6 - Clinical Associate Professors and Clinical Readers (Vet School)",$C18-SUMIF('Points Lookup'!$AC:$AC,$B18,'Points Lookup'!$AE:$AE),"")))</f>
        <v/>
      </c>
      <c r="U18" s="83" t="str">
        <f ca="1">IF(B18="","",IF($B$2="R&amp;T Level 5 - Clinical Lecturers (Vet School)",SUMIF('Points Lookup'!$V:$V,$B18,'Points Lookup'!$Z:$Z),IF($B$2="R&amp;T Level 6 - Clinical Associate Professors and Clinical Readers (Vet School)",SUMIF('Points Lookup'!$AC:$AC,$B18,'Points Lookup'!$AG:$AG),"")))</f>
        <v/>
      </c>
      <c r="V18" s="84" t="str">
        <f t="shared" ca="1" si="5"/>
        <v/>
      </c>
      <c r="AA18" s="39">
        <v>12</v>
      </c>
    </row>
    <row r="19" spans="2:27" x14ac:dyDescent="0.25">
      <c r="B19" s="68" t="str">
        <f ca="1">IFERROR(INDEX('Points Lookup'!$A:$A,MATCH($AA19,'Points Lookup'!$AN:$AN,0)),"")</f>
        <v/>
      </c>
      <c r="C19" s="81" t="str">
        <f ca="1">IF(B19="","",SUMIF(INDIRECT("'Points Lookup'!"&amp;VLOOKUP($B$2,Grades!A:BU,72,FALSE)&amp;":"&amp;VLOOKUP($B$2,Grades!A:BU,72,FALSE)),B19,INDIRECT("'Points Lookup'!"&amp;VLOOKUP($B$2,Grades!A:BU,73,FALSE)&amp;":"&amp;VLOOKUP($B$2,Grades!A:BU,73,FALSE))))</f>
        <v/>
      </c>
      <c r="D19" s="82" t="str">
        <f ca="1">IF(B19="","",IF(AND(VLOOKUP($B$2,Grades!$A:$BS,71,0)="Y",B19&lt;7),VLOOKUP($B19,Thresholds_Rates!$I$15:$J$18,2,FALSE),"-"))</f>
        <v/>
      </c>
      <c r="E19" s="81"/>
      <c r="F19" s="81" t="str">
        <f ca="1">IF($B19="","",IF(SUMIF(Grades!$A:$A,$B$2,Grades!$BO:$BO)=0,"-",IF(AND(VLOOKUP($B$2,Grades!$A:$BV,74,FALSE)="YES",B19&lt;Thresholds_Rates!$C$16),"-",$C19*Thresholds_Rates!$F$15)))</f>
        <v/>
      </c>
      <c r="G19" s="81" t="str">
        <f ca="1">IF(B19="","",IF($B$2="Salary Points 3 to 57","-",IF(SUMIF(Grades!$A:$A,$B$2,Grades!$BP:$BP)=0,"-",IF(AND(OR($B$2="New Consultant Contract"),$B19&lt;&gt;""),$C19*Thresholds_Rates!$F$16,IF(AND(OR($B$2="Clinical Lecturer / Medical Research Fellow",$B$2="Clinical Consultant - Old Contract (GP)"),$B19&lt;&gt;""),$C19*Thresholds_Rates!$F$16,IF(AND(OR($B$2="APM Level 7",$B$2="R&amp;T Level 7"),F19&lt;&gt;""),$C19*Thresholds_Rates!$F$16,IF(SUMIF(Grades!$A:$A,$B$2,Grades!$BP:$BP)=1,$C19*Thresholds_Rates!$F$16,"")))))))</f>
        <v/>
      </c>
      <c r="H19" s="81" t="str">
        <f ca="1">IF($B$2="Apprenticeship","-",IF(B19="","",IF(SUMIF(Grades!$A:$A,$B$2,Grades!$BQ:$BQ)=0,"-",IF(AND($B$2="Salary Points 3 to 57",B19&gt;Thresholds_Rates!$C$17),"-",IF(AND($B$2="Salary Points 3 to 57",B19&lt;=Thresholds_Rates!$C$17),$C19*Thresholds_Rates!$F$17,IF(AND(OR($B$2="New Consultant Contract"),$B19&lt;&gt;""),$C19*Thresholds_Rates!$F$17,IF(AND(OR($B$2="Clinical Lecturer / Medical Research Fellow",$B$2="Clinical Consultant - Old Contract (GP)"),$B19&lt;&gt;""),$C19*Thresholds_Rates!$F$17,IF(AND(OR($B$2="APM Level 7",$B$2="R&amp;T Level 7"),G19&lt;&gt;""),$C19*Thresholds_Rates!$F$17,IF(SUMIF(Grades!$A:$A,$B$2,Grades!$BQ:$BQ)=1,$C19*Thresholds_Rates!$F$17,"")))))))))</f>
        <v/>
      </c>
      <c r="I19" s="81" t="str">
        <f ca="1">IF($B19="","",IF($C19=0,0,ROUND(($C19-(Thresholds_Rates!$C$5*12))*Thresholds_Rates!$C$10,0)))</f>
        <v/>
      </c>
      <c r="J19" s="81" t="str">
        <f ca="1">IF(B19="","",(C19*Thresholds_Rates!$C$12))</f>
        <v/>
      </c>
      <c r="K19" s="81" t="str">
        <f ca="1">IF(B19="","",IF(AND($B$2="Salary Points 3 to 57",B19&gt;Thresholds_Rates!$C$17),"-",IF(SUMIF(Grades!$A:$A,$B$2,Grades!$BR:$BR)=0,"-",IF(AND($B$2="Salary Points 3 to 57",B19&lt;=Thresholds_Rates!$C$17),$C19*Thresholds_Rates!$F$18,IF(AND(OR($B$2="New Consultant Contract"),$B19&lt;&gt;""),$C19*Thresholds_Rates!$F$18,IF(AND(OR($B$2="Clinical Lecturer / Medical Research Fellow",$B$2="Clinical Consultant - Old Contract (GP)"),$B19&lt;&gt;""),$C19*Thresholds_Rates!$F$18,IF(AND(OR($B$2="APM Level 7",$B$2="R&amp;T Level 7"),I19&lt;&gt;""),$C19*Thresholds_Rates!$F$18,IF(SUMIF(Grades!$A:$A,$B$2,Grades!$BQ:$BQ)=1,$C19*Thresholds_Rates!$F$18,""))))))))</f>
        <v/>
      </c>
      <c r="L19" s="68"/>
      <c r="M19" s="81" t="str">
        <f t="shared" ca="1" si="0"/>
        <v/>
      </c>
      <c r="N19" s="81" t="str">
        <f t="shared" ca="1" si="1"/>
        <v/>
      </c>
      <c r="O19" s="81" t="str">
        <f t="shared" ca="1" si="2"/>
        <v/>
      </c>
      <c r="P19" s="81" t="str">
        <f t="shared" ca="1" si="3"/>
        <v/>
      </c>
      <c r="Q19" s="81" t="str">
        <f t="shared" ca="1" si="4"/>
        <v/>
      </c>
      <c r="S19" s="83" t="str">
        <f ca="1">IF(B19="","",IF($B$2="R&amp;T Level 5 - Clinical Lecturers (Vet School)",SUMIF('Points Lookup'!$V:$V,$B19,'Points Lookup'!$W:$W),IF($B$2="R&amp;T Level 6 - Clinical Associate Professors and Clinical Readers (Vet School)",SUMIF('Points Lookup'!$AC:$AC,$B19,'Points Lookup'!$AD:$AD),"")))</f>
        <v/>
      </c>
      <c r="T19" s="84" t="str">
        <f ca="1">IF(B19="","",IF($B$2="R&amp;T Level 5 - Clinical Lecturers (Vet School)",$C19-SUMIF('Points Lookup'!$V:$V,$B19,'Points Lookup'!$X:$X),IF($B$2="R&amp;T Level 6 - Clinical Associate Professors and Clinical Readers (Vet School)",$C19-SUMIF('Points Lookup'!$AC:$AC,$B19,'Points Lookup'!$AE:$AE),"")))</f>
        <v/>
      </c>
      <c r="U19" s="83" t="str">
        <f ca="1">IF(B19="","",IF($B$2="R&amp;T Level 5 - Clinical Lecturers (Vet School)",SUMIF('Points Lookup'!$V:$V,$B19,'Points Lookup'!$Z:$Z),IF($B$2="R&amp;T Level 6 - Clinical Associate Professors and Clinical Readers (Vet School)",SUMIF('Points Lookup'!$AC:$AC,$B19,'Points Lookup'!$AG:$AG),"")))</f>
        <v/>
      </c>
      <c r="V19" s="84" t="str">
        <f t="shared" ca="1" si="5"/>
        <v/>
      </c>
      <c r="AA19" s="39">
        <v>13</v>
      </c>
    </row>
    <row r="20" spans="2:27" x14ac:dyDescent="0.25">
      <c r="B20" s="68" t="str">
        <f ca="1">IFERROR(INDEX('Points Lookup'!$A:$A,MATCH($AA20,'Points Lookup'!$AN:$AN,0)),"")</f>
        <v/>
      </c>
      <c r="C20" s="81" t="str">
        <f ca="1">IF(B20="","",SUMIF(INDIRECT("'Points Lookup'!"&amp;VLOOKUP($B$2,Grades!A:BU,72,FALSE)&amp;":"&amp;VLOOKUP($B$2,Grades!A:BU,72,FALSE)),B20,INDIRECT("'Points Lookup'!"&amp;VLOOKUP($B$2,Grades!A:BU,73,FALSE)&amp;":"&amp;VLOOKUP($B$2,Grades!A:BU,73,FALSE))))</f>
        <v/>
      </c>
      <c r="D20" s="82" t="str">
        <f ca="1">IF(B20="","",IF(AND(VLOOKUP($B$2,Grades!$A:$BS,71,0)="Y",B20&lt;7),VLOOKUP($B20,Thresholds_Rates!$I$15:$J$18,2,FALSE),"-"))</f>
        <v/>
      </c>
      <c r="E20" s="81"/>
      <c r="F20" s="81" t="str">
        <f ca="1">IF($B20="","",IF(SUMIF(Grades!$A:$A,$B$2,Grades!$BO:$BO)=0,"-",IF(AND(VLOOKUP($B$2,Grades!$A:$BV,74,FALSE)="YES",B20&lt;Thresholds_Rates!$C$16),"-",$C20*Thresholds_Rates!$F$15)))</f>
        <v/>
      </c>
      <c r="G20" s="81" t="str">
        <f ca="1">IF(B20="","",IF($B$2="Salary Points 3 to 57","-",IF(SUMIF(Grades!$A:$A,$B$2,Grades!$BP:$BP)=0,"-",IF(AND(OR($B$2="New Consultant Contract"),$B20&lt;&gt;""),$C20*Thresholds_Rates!$F$16,IF(AND(OR($B$2="Clinical Lecturer / Medical Research Fellow",$B$2="Clinical Consultant - Old Contract (GP)"),$B20&lt;&gt;""),$C20*Thresholds_Rates!$F$16,IF(AND(OR($B$2="APM Level 7",$B$2="R&amp;T Level 7"),F20&lt;&gt;""),$C20*Thresholds_Rates!$F$16,IF(SUMIF(Grades!$A:$A,$B$2,Grades!$BP:$BP)=1,$C20*Thresholds_Rates!$F$16,"")))))))</f>
        <v/>
      </c>
      <c r="H20" s="81" t="str">
        <f ca="1">IF($B$2="Apprenticeship","-",IF(B20="","",IF(SUMIF(Grades!$A:$A,$B$2,Grades!$BQ:$BQ)=0,"-",IF(AND($B$2="Salary Points 3 to 57",B20&gt;Thresholds_Rates!$C$17),"-",IF(AND($B$2="Salary Points 3 to 57",B20&lt;=Thresholds_Rates!$C$17),$C20*Thresholds_Rates!$F$17,IF(AND(OR($B$2="New Consultant Contract"),$B20&lt;&gt;""),$C20*Thresholds_Rates!$F$17,IF(AND(OR($B$2="Clinical Lecturer / Medical Research Fellow",$B$2="Clinical Consultant - Old Contract (GP)"),$B20&lt;&gt;""),$C20*Thresholds_Rates!$F$17,IF(AND(OR($B$2="APM Level 7",$B$2="R&amp;T Level 7"),G20&lt;&gt;""),$C20*Thresholds_Rates!$F$17,IF(SUMIF(Grades!$A:$A,$B$2,Grades!$BQ:$BQ)=1,$C20*Thresholds_Rates!$F$17,"")))))))))</f>
        <v/>
      </c>
      <c r="I20" s="81" t="str">
        <f ca="1">IF($B20="","",IF($C20=0,0,ROUND(($C20-(Thresholds_Rates!$C$5*12))*Thresholds_Rates!$C$10,0)))</f>
        <v/>
      </c>
      <c r="J20" s="81" t="str">
        <f ca="1">IF(B20="","",(C20*Thresholds_Rates!$C$12))</f>
        <v/>
      </c>
      <c r="K20" s="81" t="str">
        <f ca="1">IF(B20="","",IF(AND($B$2="Salary Points 3 to 57",B20&gt;Thresholds_Rates!$C$17),"-",IF(SUMIF(Grades!$A:$A,$B$2,Grades!$BR:$BR)=0,"-",IF(AND($B$2="Salary Points 3 to 57",B20&lt;=Thresholds_Rates!$C$17),$C20*Thresholds_Rates!$F$18,IF(AND(OR($B$2="New Consultant Contract"),$B20&lt;&gt;""),$C20*Thresholds_Rates!$F$18,IF(AND(OR($B$2="Clinical Lecturer / Medical Research Fellow",$B$2="Clinical Consultant - Old Contract (GP)"),$B20&lt;&gt;""),$C20*Thresholds_Rates!$F$18,IF(AND(OR($B$2="APM Level 7",$B$2="R&amp;T Level 7"),I20&lt;&gt;""),$C20*Thresholds_Rates!$F$18,IF(SUMIF(Grades!$A:$A,$B$2,Grades!$BQ:$BQ)=1,$C20*Thresholds_Rates!$F$18,""))))))))</f>
        <v/>
      </c>
      <c r="L20" s="68"/>
      <c r="M20" s="81" t="str">
        <f t="shared" ca="1" si="0"/>
        <v/>
      </c>
      <c r="N20" s="81" t="str">
        <f t="shared" ca="1" si="1"/>
        <v/>
      </c>
      <c r="O20" s="81" t="str">
        <f t="shared" ca="1" si="2"/>
        <v/>
      </c>
      <c r="P20" s="81" t="str">
        <f t="shared" ca="1" si="3"/>
        <v/>
      </c>
      <c r="Q20" s="81" t="str">
        <f t="shared" ca="1" si="4"/>
        <v/>
      </c>
      <c r="S20" s="83" t="str">
        <f ca="1">IF(B20="","",IF($B$2="R&amp;T Level 5 - Clinical Lecturers (Vet School)",SUMIF('Points Lookup'!$V:$V,$B20,'Points Lookup'!$W:$W),IF($B$2="R&amp;T Level 6 - Clinical Associate Professors and Clinical Readers (Vet School)",SUMIF('Points Lookup'!$AC:$AC,$B20,'Points Lookup'!$AD:$AD),"")))</f>
        <v/>
      </c>
      <c r="T20" s="84" t="str">
        <f ca="1">IF(B20="","",IF($B$2="R&amp;T Level 5 - Clinical Lecturers (Vet School)",$C20-SUMIF('Points Lookup'!$V:$V,$B20,'Points Lookup'!$X:$X),IF($B$2="R&amp;T Level 6 - Clinical Associate Professors and Clinical Readers (Vet School)",$C20-SUMIF('Points Lookup'!$AC:$AC,$B20,'Points Lookup'!$AE:$AE),"")))</f>
        <v/>
      </c>
      <c r="U20" s="83" t="str">
        <f ca="1">IF(B20="","",IF($B$2="R&amp;T Level 5 - Clinical Lecturers (Vet School)",SUMIF('Points Lookup'!$V:$V,$B20,'Points Lookup'!$Z:$Z),IF($B$2="R&amp;T Level 6 - Clinical Associate Professors and Clinical Readers (Vet School)",SUMIF('Points Lookup'!$AC:$AC,$B20,'Points Lookup'!$AG:$AG),"")))</f>
        <v/>
      </c>
      <c r="V20" s="84" t="str">
        <f t="shared" ca="1" si="5"/>
        <v/>
      </c>
      <c r="AA20" s="39">
        <v>14</v>
      </c>
    </row>
    <row r="21" spans="2:27" x14ac:dyDescent="0.25">
      <c r="B21" s="68" t="str">
        <f ca="1">IFERROR(INDEX('Points Lookup'!$A:$A,MATCH($AA21,'Points Lookup'!$AN:$AN,0)),"")</f>
        <v/>
      </c>
      <c r="C21" s="81" t="str">
        <f ca="1">IF(B21="","",SUMIF(INDIRECT("'Points Lookup'!"&amp;VLOOKUP($B$2,Grades!A:BU,72,FALSE)&amp;":"&amp;VLOOKUP($B$2,Grades!A:BU,72,FALSE)),B21,INDIRECT("'Points Lookup'!"&amp;VLOOKUP($B$2,Grades!A:BU,73,FALSE)&amp;":"&amp;VLOOKUP($B$2,Grades!A:BU,73,FALSE))))</f>
        <v/>
      </c>
      <c r="D21" s="82" t="str">
        <f ca="1">IF(B21="","",IF(AND(VLOOKUP($B$2,Grades!$A:$BS,71,0)="Y",B21&lt;7),VLOOKUP($B21,Thresholds_Rates!$I$15:$J$18,2,FALSE),"-"))</f>
        <v/>
      </c>
      <c r="E21" s="81"/>
      <c r="F21" s="81" t="str">
        <f ca="1">IF($B21="","",IF(SUMIF(Grades!$A:$A,$B$2,Grades!$BO:$BO)=0,"-",IF(AND(VLOOKUP($B$2,Grades!$A:$BV,74,FALSE)="YES",B21&lt;Thresholds_Rates!$C$16),"-",$C21*Thresholds_Rates!$F$15)))</f>
        <v/>
      </c>
      <c r="G21" s="81" t="str">
        <f ca="1">IF(B21="","",IF($B$2="Salary Points 3 to 57","-",IF(SUMIF(Grades!$A:$A,$B$2,Grades!$BP:$BP)=0,"-",IF(AND(OR($B$2="New Consultant Contract"),$B21&lt;&gt;""),$C21*Thresholds_Rates!$F$16,IF(AND(OR($B$2="Clinical Lecturer / Medical Research Fellow",$B$2="Clinical Consultant - Old Contract (GP)"),$B21&lt;&gt;""),$C21*Thresholds_Rates!$F$16,IF(AND(OR($B$2="APM Level 7",$B$2="R&amp;T Level 7"),F21&lt;&gt;""),$C21*Thresholds_Rates!$F$16,IF(SUMIF(Grades!$A:$A,$B$2,Grades!$BP:$BP)=1,$C21*Thresholds_Rates!$F$16,"")))))))</f>
        <v/>
      </c>
      <c r="H21" s="81" t="str">
        <f ca="1">IF($B$2="Apprenticeship","-",IF(B21="","",IF(SUMIF(Grades!$A:$A,$B$2,Grades!$BQ:$BQ)=0,"-",IF(AND($B$2="Salary Points 3 to 57",B21&gt;Thresholds_Rates!$C$17),"-",IF(AND($B$2="Salary Points 3 to 57",B21&lt;=Thresholds_Rates!$C$17),$C21*Thresholds_Rates!$F$17,IF(AND(OR($B$2="New Consultant Contract"),$B21&lt;&gt;""),$C21*Thresholds_Rates!$F$17,IF(AND(OR($B$2="Clinical Lecturer / Medical Research Fellow",$B$2="Clinical Consultant - Old Contract (GP)"),$B21&lt;&gt;""),$C21*Thresholds_Rates!$F$17,IF(AND(OR($B$2="APM Level 7",$B$2="R&amp;T Level 7"),G21&lt;&gt;""),$C21*Thresholds_Rates!$F$17,IF(SUMIF(Grades!$A:$A,$B$2,Grades!$BQ:$BQ)=1,$C21*Thresholds_Rates!$F$17,"")))))))))</f>
        <v/>
      </c>
      <c r="I21" s="81" t="str">
        <f ca="1">IF($B21="","",IF($C21=0,0,ROUND(($C21-(Thresholds_Rates!$C$5*12))*Thresholds_Rates!$C$10,0)))</f>
        <v/>
      </c>
      <c r="J21" s="81" t="str">
        <f ca="1">IF(B21="","",(C21*Thresholds_Rates!$C$12))</f>
        <v/>
      </c>
      <c r="K21" s="81" t="str">
        <f ca="1">IF(B21="","",IF(AND($B$2="Salary Points 3 to 57",B21&gt;Thresholds_Rates!$C$17),"-",IF(SUMIF(Grades!$A:$A,$B$2,Grades!$BR:$BR)=0,"-",IF(AND($B$2="Salary Points 3 to 57",B21&lt;=Thresholds_Rates!$C$17),$C21*Thresholds_Rates!$F$18,IF(AND(OR($B$2="New Consultant Contract"),$B21&lt;&gt;""),$C21*Thresholds_Rates!$F$18,IF(AND(OR($B$2="Clinical Lecturer / Medical Research Fellow",$B$2="Clinical Consultant - Old Contract (GP)"),$B21&lt;&gt;""),$C21*Thresholds_Rates!$F$18,IF(AND(OR($B$2="APM Level 7",$B$2="R&amp;T Level 7"),I21&lt;&gt;""),$C21*Thresholds_Rates!$F$18,IF(SUMIF(Grades!$A:$A,$B$2,Grades!$BQ:$BQ)=1,$C21*Thresholds_Rates!$F$18,""))))))))</f>
        <v/>
      </c>
      <c r="L21" s="68"/>
      <c r="M21" s="81" t="str">
        <f t="shared" ca="1" si="0"/>
        <v/>
      </c>
      <c r="N21" s="81" t="str">
        <f t="shared" ca="1" si="1"/>
        <v/>
      </c>
      <c r="O21" s="81" t="str">
        <f t="shared" ca="1" si="2"/>
        <v/>
      </c>
      <c r="P21" s="81" t="str">
        <f t="shared" ca="1" si="3"/>
        <v/>
      </c>
      <c r="Q21" s="81" t="str">
        <f t="shared" ca="1" si="4"/>
        <v/>
      </c>
      <c r="S21" s="83" t="str">
        <f ca="1">IF(B21="","",IF($B$2="R&amp;T Level 5 - Clinical Lecturers (Vet School)",SUMIF('Points Lookup'!$V:$V,$B21,'Points Lookup'!$W:$W),IF($B$2="R&amp;T Level 6 - Clinical Associate Professors and Clinical Readers (Vet School)",SUMIF('Points Lookup'!$AC:$AC,$B21,'Points Lookup'!$AD:$AD),"")))</f>
        <v/>
      </c>
      <c r="T21" s="84" t="str">
        <f ca="1">IF(B21="","",IF($B$2="R&amp;T Level 5 - Clinical Lecturers (Vet School)",$C21-SUMIF('Points Lookup'!$V:$V,$B21,'Points Lookup'!$X:$X),IF($B$2="R&amp;T Level 6 - Clinical Associate Professors and Clinical Readers (Vet School)",$C21-SUMIF('Points Lookup'!$AC:$AC,$B21,'Points Lookup'!$AE:$AE),"")))</f>
        <v/>
      </c>
      <c r="U21" s="83" t="str">
        <f ca="1">IF(B21="","",IF($B$2="R&amp;T Level 5 - Clinical Lecturers (Vet School)",SUMIF('Points Lookup'!$V:$V,$B21,'Points Lookup'!$Z:$Z),IF($B$2="R&amp;T Level 6 - Clinical Associate Professors and Clinical Readers (Vet School)",SUMIF('Points Lookup'!$AC:$AC,$B21,'Points Lookup'!$AG:$AG),"")))</f>
        <v/>
      </c>
      <c r="V21" s="84" t="str">
        <f t="shared" ca="1" si="5"/>
        <v/>
      </c>
      <c r="AA21" s="39">
        <v>15</v>
      </c>
    </row>
    <row r="22" spans="2:27" x14ac:dyDescent="0.25">
      <c r="B22" s="68" t="str">
        <f ca="1">IFERROR(INDEX('Points Lookup'!$A:$A,MATCH($AA22,'Points Lookup'!$AN:$AN,0)),"")</f>
        <v/>
      </c>
      <c r="C22" s="81" t="str">
        <f ca="1">IF(B22="","",SUMIF(INDIRECT("'Points Lookup'!"&amp;VLOOKUP($B$2,Grades!A:BU,72,FALSE)&amp;":"&amp;VLOOKUP($B$2,Grades!A:BU,72,FALSE)),B22,INDIRECT("'Points Lookup'!"&amp;VLOOKUP($B$2,Grades!A:BU,73,FALSE)&amp;":"&amp;VLOOKUP($B$2,Grades!A:BU,73,FALSE))))</f>
        <v/>
      </c>
      <c r="D22" s="82" t="str">
        <f ca="1">IF(B22="","",IF(AND(VLOOKUP($B$2,Grades!$A:$BS,71,0)="Y",B22&lt;7),VLOOKUP($B22,Thresholds_Rates!$I$15:$J$18,2,FALSE),"-"))</f>
        <v/>
      </c>
      <c r="E22" s="81"/>
      <c r="F22" s="81" t="str">
        <f ca="1">IF($B22="","",IF(SUMIF(Grades!$A:$A,$B$2,Grades!$BO:$BO)=0,"-",IF(AND(VLOOKUP($B$2,Grades!$A:$BV,74,FALSE)="YES",B22&lt;Thresholds_Rates!$C$16),"-",$C22*Thresholds_Rates!$F$15)))</f>
        <v/>
      </c>
      <c r="G22" s="81" t="str">
        <f ca="1">IF(B22="","",IF($B$2="Salary Points 3 to 57","-",IF(SUMIF(Grades!$A:$A,$B$2,Grades!$BP:$BP)=0,"-",IF(AND(OR($B$2="New Consultant Contract"),$B22&lt;&gt;""),$C22*Thresholds_Rates!$F$16,IF(AND(OR($B$2="Clinical Lecturer / Medical Research Fellow",$B$2="Clinical Consultant - Old Contract (GP)"),$B22&lt;&gt;""),$C22*Thresholds_Rates!$F$16,IF(AND(OR($B$2="APM Level 7",$B$2="R&amp;T Level 7"),F22&lt;&gt;""),$C22*Thresholds_Rates!$F$16,IF(SUMIF(Grades!$A:$A,$B$2,Grades!$BP:$BP)=1,$C22*Thresholds_Rates!$F$16,"")))))))</f>
        <v/>
      </c>
      <c r="H22" s="81" t="str">
        <f ca="1">IF($B$2="Apprenticeship","-",IF(B22="","",IF(SUMIF(Grades!$A:$A,$B$2,Grades!$BQ:$BQ)=0,"-",IF(AND($B$2="Salary Points 3 to 57",B22&gt;Thresholds_Rates!$C$17),"-",IF(AND($B$2="Salary Points 3 to 57",B22&lt;=Thresholds_Rates!$C$17),$C22*Thresholds_Rates!$F$17,IF(AND(OR($B$2="New Consultant Contract"),$B22&lt;&gt;""),$C22*Thresholds_Rates!$F$17,IF(AND(OR($B$2="Clinical Lecturer / Medical Research Fellow",$B$2="Clinical Consultant - Old Contract (GP)"),$B22&lt;&gt;""),$C22*Thresholds_Rates!$F$17,IF(AND(OR($B$2="APM Level 7",$B$2="R&amp;T Level 7"),G22&lt;&gt;""),$C22*Thresholds_Rates!$F$17,IF(SUMIF(Grades!$A:$A,$B$2,Grades!$BQ:$BQ)=1,$C22*Thresholds_Rates!$F$17,"")))))))))</f>
        <v/>
      </c>
      <c r="I22" s="81" t="str">
        <f ca="1">IF($B22="","",IF($C22=0,0,ROUND(($C22-(Thresholds_Rates!$C$5*12))*Thresholds_Rates!$C$10,0)))</f>
        <v/>
      </c>
      <c r="J22" s="81" t="str">
        <f ca="1">IF(B22="","",(C22*Thresholds_Rates!$C$12))</f>
        <v/>
      </c>
      <c r="K22" s="81" t="str">
        <f ca="1">IF(B22="","",IF(AND($B$2="Salary Points 3 to 57",B22&gt;Thresholds_Rates!$C$17),"-",IF(SUMIF(Grades!$A:$A,$B$2,Grades!$BR:$BR)=0,"-",IF(AND($B$2="Salary Points 3 to 57",B22&lt;=Thresholds_Rates!$C$17),$C22*Thresholds_Rates!$F$18,IF(AND(OR($B$2="New Consultant Contract"),$B22&lt;&gt;""),$C22*Thresholds_Rates!$F$18,IF(AND(OR($B$2="Clinical Lecturer / Medical Research Fellow",$B$2="Clinical Consultant - Old Contract (GP)"),$B22&lt;&gt;""),$C22*Thresholds_Rates!$F$18,IF(AND(OR($B$2="APM Level 7",$B$2="R&amp;T Level 7"),I22&lt;&gt;""),$C22*Thresholds_Rates!$F$18,IF(SUMIF(Grades!$A:$A,$B$2,Grades!$BQ:$BQ)=1,$C22*Thresholds_Rates!$F$18,""))))))))</f>
        <v/>
      </c>
      <c r="L22" s="68"/>
      <c r="M22" s="81" t="str">
        <f t="shared" ca="1" si="0"/>
        <v/>
      </c>
      <c r="N22" s="81" t="str">
        <f t="shared" ca="1" si="1"/>
        <v/>
      </c>
      <c r="O22" s="81" t="str">
        <f t="shared" ca="1" si="2"/>
        <v/>
      </c>
      <c r="P22" s="81" t="str">
        <f t="shared" ca="1" si="3"/>
        <v/>
      </c>
      <c r="Q22" s="81" t="str">
        <f t="shared" ca="1" si="4"/>
        <v/>
      </c>
      <c r="S22" s="83" t="str">
        <f ca="1">IF(B22="","",IF($B$2="R&amp;T Level 5 - Clinical Lecturers (Vet School)",SUMIF('Points Lookup'!$V:$V,$B22,'Points Lookup'!$W:$W),IF($B$2="R&amp;T Level 6 - Clinical Associate Professors and Clinical Readers (Vet School)",SUMIF('Points Lookup'!$AC:$AC,$B22,'Points Lookup'!$AD:$AD),"")))</f>
        <v/>
      </c>
      <c r="T22" s="84" t="str">
        <f ca="1">IF(B22="","",IF($B$2="R&amp;T Level 5 - Clinical Lecturers (Vet School)",$C22-SUMIF('Points Lookup'!$V:$V,$B22,'Points Lookup'!$X:$X),IF($B$2="R&amp;T Level 6 - Clinical Associate Professors and Clinical Readers (Vet School)",$C22-SUMIF('Points Lookup'!$AC:$AC,$B22,'Points Lookup'!$AE:$AE),"")))</f>
        <v/>
      </c>
      <c r="U22" s="83" t="str">
        <f ca="1">IF(B22="","",IF($B$2="R&amp;T Level 5 - Clinical Lecturers (Vet School)",SUMIF('Points Lookup'!$V:$V,$B22,'Points Lookup'!$Z:$Z),IF($B$2="R&amp;T Level 6 - Clinical Associate Professors and Clinical Readers (Vet School)",SUMIF('Points Lookup'!$AC:$AC,$B22,'Points Lookup'!$AG:$AG),"")))</f>
        <v/>
      </c>
      <c r="V22" s="84" t="str">
        <f t="shared" ca="1" si="5"/>
        <v/>
      </c>
      <c r="AA22" s="39">
        <v>16</v>
      </c>
    </row>
    <row r="23" spans="2:27" x14ac:dyDescent="0.25">
      <c r="B23" s="68" t="str">
        <f ca="1">IFERROR(INDEX('Points Lookup'!$A:$A,MATCH($AA23,'Points Lookup'!$AN:$AN,0)),"")</f>
        <v/>
      </c>
      <c r="C23" s="81" t="str">
        <f ca="1">IF(B23="","",SUMIF(INDIRECT("'Points Lookup'!"&amp;VLOOKUP($B$2,Grades!A:BU,72,FALSE)&amp;":"&amp;VLOOKUP($B$2,Grades!A:BU,72,FALSE)),B23,INDIRECT("'Points Lookup'!"&amp;VLOOKUP($B$2,Grades!A:BU,73,FALSE)&amp;":"&amp;VLOOKUP($B$2,Grades!A:BU,73,FALSE))))</f>
        <v/>
      </c>
      <c r="D23" s="82" t="str">
        <f ca="1">IF(B23="","",IF(AND(VLOOKUP($B$2,Grades!$A:$BS,71,0)="Y",B23&lt;7),VLOOKUP($B23,Thresholds_Rates!$I$15:$J$18,2,FALSE),"-"))</f>
        <v/>
      </c>
      <c r="E23" s="81"/>
      <c r="F23" s="81" t="str">
        <f ca="1">IF($B23="","",IF(SUMIF(Grades!$A:$A,$B$2,Grades!$BO:$BO)=0,"-",IF(AND(VLOOKUP($B$2,Grades!$A:$BV,74,FALSE)="YES",B23&lt;Thresholds_Rates!$C$16),"-",$C23*Thresholds_Rates!$F$15)))</f>
        <v/>
      </c>
      <c r="G23" s="81" t="str">
        <f ca="1">IF(B23="","",IF($B$2="Salary Points 3 to 57","-",IF(SUMIF(Grades!$A:$A,$B$2,Grades!$BP:$BP)=0,"-",IF(AND(OR($B$2="New Consultant Contract"),$B23&lt;&gt;""),$C23*Thresholds_Rates!$F$16,IF(AND(OR($B$2="Clinical Lecturer / Medical Research Fellow",$B$2="Clinical Consultant - Old Contract (GP)"),$B23&lt;&gt;""),$C23*Thresholds_Rates!$F$16,IF(AND(OR($B$2="APM Level 7",$B$2="R&amp;T Level 7"),F23&lt;&gt;""),$C23*Thresholds_Rates!$F$16,IF(SUMIF(Grades!$A:$A,$B$2,Grades!$BP:$BP)=1,$C23*Thresholds_Rates!$F$16,"")))))))</f>
        <v/>
      </c>
      <c r="H23" s="81" t="str">
        <f ca="1">IF($B$2="Apprenticeship","-",IF(B23="","",IF(SUMIF(Grades!$A:$A,$B$2,Grades!$BQ:$BQ)=0,"-",IF(AND($B$2="Salary Points 3 to 57",B23&gt;Thresholds_Rates!$C$17),"-",IF(AND($B$2="Salary Points 3 to 57",B23&lt;=Thresholds_Rates!$C$17),$C23*Thresholds_Rates!$F$17,IF(AND(OR($B$2="New Consultant Contract"),$B23&lt;&gt;""),$C23*Thresholds_Rates!$F$17,IF(AND(OR($B$2="Clinical Lecturer / Medical Research Fellow",$B$2="Clinical Consultant - Old Contract (GP)"),$B23&lt;&gt;""),$C23*Thresholds_Rates!$F$17,IF(AND(OR($B$2="APM Level 7",$B$2="R&amp;T Level 7"),G23&lt;&gt;""),$C23*Thresholds_Rates!$F$17,IF(SUMIF(Grades!$A:$A,$B$2,Grades!$BQ:$BQ)=1,$C23*Thresholds_Rates!$F$17,"")))))))))</f>
        <v/>
      </c>
      <c r="I23" s="81" t="str">
        <f ca="1">IF($B23="","",IF($C23=0,0,ROUND(($C23-(Thresholds_Rates!$C$5*12))*Thresholds_Rates!$C$10,0)))</f>
        <v/>
      </c>
      <c r="J23" s="81" t="str">
        <f ca="1">IF(B23="","",(C23*Thresholds_Rates!$C$12))</f>
        <v/>
      </c>
      <c r="K23" s="81" t="str">
        <f ca="1">IF(B23="","",IF(AND($B$2="Salary Points 3 to 57",B23&gt;Thresholds_Rates!$C$17),"-",IF(SUMIF(Grades!$A:$A,$B$2,Grades!$BR:$BR)=0,"-",IF(AND($B$2="Salary Points 3 to 57",B23&lt;=Thresholds_Rates!$C$17),$C23*Thresholds_Rates!$F$18,IF(AND(OR($B$2="New Consultant Contract"),$B23&lt;&gt;""),$C23*Thresholds_Rates!$F$18,IF(AND(OR($B$2="Clinical Lecturer / Medical Research Fellow",$B$2="Clinical Consultant - Old Contract (GP)"),$B23&lt;&gt;""),$C23*Thresholds_Rates!$F$18,IF(AND(OR($B$2="APM Level 7",$B$2="R&amp;T Level 7"),I23&lt;&gt;""),$C23*Thresholds_Rates!$F$18,IF(SUMIF(Grades!$A:$A,$B$2,Grades!$BQ:$BQ)=1,$C23*Thresholds_Rates!$F$18,""))))))))</f>
        <v/>
      </c>
      <c r="L23" s="68"/>
      <c r="M23" s="81" t="str">
        <f t="shared" ca="1" si="0"/>
        <v/>
      </c>
      <c r="N23" s="81" t="str">
        <f t="shared" ca="1" si="1"/>
        <v/>
      </c>
      <c r="O23" s="81" t="str">
        <f t="shared" ca="1" si="2"/>
        <v/>
      </c>
      <c r="P23" s="81" t="str">
        <f t="shared" ca="1" si="3"/>
        <v/>
      </c>
      <c r="Q23" s="81" t="str">
        <f t="shared" ca="1" si="4"/>
        <v/>
      </c>
      <c r="S23" s="83" t="str">
        <f ca="1">IF(B23="","",IF($B$2="R&amp;T Level 5 - Clinical Lecturers (Vet School)",SUMIF('Points Lookup'!$V:$V,$B23,'Points Lookup'!$W:$W),IF($B$2="R&amp;T Level 6 - Clinical Associate Professors and Clinical Readers (Vet School)",SUMIF('Points Lookup'!$AC:$AC,$B23,'Points Lookup'!$AD:$AD),"")))</f>
        <v/>
      </c>
      <c r="T23" s="84" t="str">
        <f ca="1">IF(B23="","",IF($B$2="R&amp;T Level 5 - Clinical Lecturers (Vet School)",$C23-SUMIF('Points Lookup'!$V:$V,$B23,'Points Lookup'!$X:$X),IF($B$2="R&amp;T Level 6 - Clinical Associate Professors and Clinical Readers (Vet School)",$C23-SUMIF('Points Lookup'!$AC:$AC,$B23,'Points Lookup'!$AE:$AE),"")))</f>
        <v/>
      </c>
      <c r="U23" s="83" t="str">
        <f ca="1">IF(B23="","",IF($B$2="R&amp;T Level 5 - Clinical Lecturers (Vet School)",SUMIF('Points Lookup'!$V:$V,$B23,'Points Lookup'!$Z:$Z),IF($B$2="R&amp;T Level 6 - Clinical Associate Professors and Clinical Readers (Vet School)",SUMIF('Points Lookup'!$AC:$AC,$B23,'Points Lookup'!$AG:$AG),"")))</f>
        <v/>
      </c>
      <c r="V23" s="84" t="str">
        <f t="shared" ca="1" si="5"/>
        <v/>
      </c>
      <c r="AA23" s="39">
        <v>17</v>
      </c>
    </row>
    <row r="24" spans="2:27" x14ac:dyDescent="0.25">
      <c r="B24" s="68" t="str">
        <f ca="1">IFERROR(INDEX('Points Lookup'!$A:$A,MATCH($AA24,'Points Lookup'!$AN:$AN,0)),"")</f>
        <v/>
      </c>
      <c r="C24" s="81" t="str">
        <f ca="1">IF(B24="","",SUMIF(INDIRECT("'Points Lookup'!"&amp;VLOOKUP($B$2,Grades!A:BU,72,FALSE)&amp;":"&amp;VLOOKUP($B$2,Grades!A:BU,72,FALSE)),B24,INDIRECT("'Points Lookup'!"&amp;VLOOKUP($B$2,Grades!A:BU,73,FALSE)&amp;":"&amp;VLOOKUP($B$2,Grades!A:BU,73,FALSE))))</f>
        <v/>
      </c>
      <c r="D24" s="82" t="str">
        <f ca="1">IF(B24="","",IF(AND(VLOOKUP($B$2,Grades!$A:$BS,71,0)="Y",B24&lt;7),VLOOKUP($B24,Thresholds_Rates!$I$15:$J$18,2,FALSE),"-"))</f>
        <v/>
      </c>
      <c r="E24" s="81"/>
      <c r="F24" s="81" t="str">
        <f ca="1">IF($B24="","",IF(SUMIF(Grades!$A:$A,$B$2,Grades!$BO:$BO)=0,"-",IF(AND(VLOOKUP($B$2,Grades!$A:$BV,74,FALSE)="YES",B24&lt;Thresholds_Rates!$C$16),"-",$C24*Thresholds_Rates!$F$15)))</f>
        <v/>
      </c>
      <c r="G24" s="81" t="str">
        <f ca="1">IF(B24="","",IF($B$2="Salary Points 3 to 57","-",IF(SUMIF(Grades!$A:$A,$B$2,Grades!$BP:$BP)=0,"-",IF(AND(OR($B$2="New Consultant Contract"),$B24&lt;&gt;""),$C24*Thresholds_Rates!$F$16,IF(AND(OR($B$2="Clinical Lecturer / Medical Research Fellow",$B$2="Clinical Consultant - Old Contract (GP)"),$B24&lt;&gt;""),$C24*Thresholds_Rates!$F$16,IF(AND(OR($B$2="APM Level 7",$B$2="R&amp;T Level 7"),F24&lt;&gt;""),$C24*Thresholds_Rates!$F$16,IF(SUMIF(Grades!$A:$A,$B$2,Grades!$BP:$BP)=1,$C24*Thresholds_Rates!$F$16,"")))))))</f>
        <v/>
      </c>
      <c r="H24" s="81" t="str">
        <f ca="1">IF($B$2="Apprenticeship","-",IF(B24="","",IF(SUMIF(Grades!$A:$A,$B$2,Grades!$BQ:$BQ)=0,"-",IF(AND($B$2="Salary Points 3 to 57",B24&gt;Thresholds_Rates!$C$17),"-",IF(AND($B$2="Salary Points 3 to 57",B24&lt;=Thresholds_Rates!$C$17),$C24*Thresholds_Rates!$F$17,IF(AND(OR($B$2="New Consultant Contract"),$B24&lt;&gt;""),$C24*Thresholds_Rates!$F$17,IF(AND(OR($B$2="Clinical Lecturer / Medical Research Fellow",$B$2="Clinical Consultant - Old Contract (GP)"),$B24&lt;&gt;""),$C24*Thresholds_Rates!$F$17,IF(AND(OR($B$2="APM Level 7",$B$2="R&amp;T Level 7"),G24&lt;&gt;""),$C24*Thresholds_Rates!$F$17,IF(SUMIF(Grades!$A:$A,$B$2,Grades!$BQ:$BQ)=1,$C24*Thresholds_Rates!$F$17,"")))))))))</f>
        <v/>
      </c>
      <c r="I24" s="81" t="str">
        <f ca="1">IF($B24="","",IF($C24=0,0,ROUND(($C24-(Thresholds_Rates!$C$5*12))*Thresholds_Rates!$C$10,0)))</f>
        <v/>
      </c>
      <c r="J24" s="81" t="str">
        <f ca="1">IF(B24="","",(C24*Thresholds_Rates!$C$12))</f>
        <v/>
      </c>
      <c r="K24" s="81" t="str">
        <f ca="1">IF(B24="","",IF(AND($B$2="Salary Points 3 to 57",B24&gt;Thresholds_Rates!$C$17),"-",IF(SUMIF(Grades!$A:$A,$B$2,Grades!$BR:$BR)=0,"-",IF(AND($B$2="Salary Points 3 to 57",B24&lt;=Thresholds_Rates!$C$17),$C24*Thresholds_Rates!$F$18,IF(AND(OR($B$2="New Consultant Contract"),$B24&lt;&gt;""),$C24*Thresholds_Rates!$F$18,IF(AND(OR($B$2="Clinical Lecturer / Medical Research Fellow",$B$2="Clinical Consultant - Old Contract (GP)"),$B24&lt;&gt;""),$C24*Thresholds_Rates!$F$18,IF(AND(OR($B$2="APM Level 7",$B$2="R&amp;T Level 7"),I24&lt;&gt;""),$C24*Thresholds_Rates!$F$18,IF(SUMIF(Grades!$A:$A,$B$2,Grades!$BQ:$BQ)=1,$C24*Thresholds_Rates!$F$18,""))))))))</f>
        <v/>
      </c>
      <c r="L24" s="68"/>
      <c r="M24" s="81" t="str">
        <f t="shared" ca="1" si="0"/>
        <v/>
      </c>
      <c r="N24" s="81" t="str">
        <f t="shared" ca="1" si="1"/>
        <v/>
      </c>
      <c r="O24" s="81" t="str">
        <f t="shared" ca="1" si="2"/>
        <v/>
      </c>
      <c r="P24" s="81" t="str">
        <f t="shared" ca="1" si="3"/>
        <v/>
      </c>
      <c r="Q24" s="81" t="str">
        <f t="shared" ca="1" si="4"/>
        <v/>
      </c>
      <c r="S24" s="83" t="str">
        <f ca="1">IF(B24="","",IF($B$2="R&amp;T Level 5 - Clinical Lecturers (Vet School)",SUMIF('Points Lookup'!$V:$V,$B24,'Points Lookup'!$W:$W),IF($B$2="R&amp;T Level 6 - Clinical Associate Professors and Clinical Readers (Vet School)",SUMIF('Points Lookup'!$AC:$AC,$B24,'Points Lookup'!$AD:$AD),"")))</f>
        <v/>
      </c>
      <c r="T24" s="84" t="str">
        <f ca="1">IF(B24="","",IF($B$2="R&amp;T Level 5 - Clinical Lecturers (Vet School)",$C24-SUMIF('Points Lookup'!$V:$V,$B24,'Points Lookup'!$X:$X),IF($B$2="R&amp;T Level 6 - Clinical Associate Professors and Clinical Readers (Vet School)",$C24-SUMIF('Points Lookup'!$AC:$AC,$B24,'Points Lookup'!$AE:$AE),"")))</f>
        <v/>
      </c>
      <c r="U24" s="83" t="str">
        <f ca="1">IF(B24="","",IF($B$2="R&amp;T Level 5 - Clinical Lecturers (Vet School)",SUMIF('Points Lookup'!$V:$V,$B24,'Points Lookup'!$Z:$Z),IF($B$2="R&amp;T Level 6 - Clinical Associate Professors and Clinical Readers (Vet School)",SUMIF('Points Lookup'!$AC:$AC,$B24,'Points Lookup'!$AG:$AG),"")))</f>
        <v/>
      </c>
      <c r="V24" s="84" t="str">
        <f t="shared" ca="1" si="5"/>
        <v/>
      </c>
      <c r="AA24" s="39">
        <v>18</v>
      </c>
    </row>
    <row r="25" spans="2:27" x14ac:dyDescent="0.25">
      <c r="B25" s="68" t="str">
        <f ca="1">IFERROR(INDEX('Points Lookup'!$A:$A,MATCH($AA25,'Points Lookup'!$AN:$AN,0)),"")</f>
        <v/>
      </c>
      <c r="C25" s="81" t="str">
        <f ca="1">IF(B25="","",SUMIF(INDIRECT("'Points Lookup'!"&amp;VLOOKUP($B$2,Grades!A:BU,72,FALSE)&amp;":"&amp;VLOOKUP($B$2,Grades!A:BU,72,FALSE)),B25,INDIRECT("'Points Lookup'!"&amp;VLOOKUP($B$2,Grades!A:BU,73,FALSE)&amp;":"&amp;VLOOKUP($B$2,Grades!A:BU,73,FALSE))))</f>
        <v/>
      </c>
      <c r="D25" s="82" t="str">
        <f ca="1">IF(B25="","",IF(AND(VLOOKUP($B$2,Grades!$A:$BS,71,0)="Y",B25&lt;7),VLOOKUP($B25,Thresholds_Rates!$I$15:$J$18,2,FALSE),"-"))</f>
        <v/>
      </c>
      <c r="E25" s="81"/>
      <c r="F25" s="81" t="str">
        <f ca="1">IF($B25="","",IF(SUMIF(Grades!$A:$A,$B$2,Grades!$BO:$BO)=0,"-",IF(AND(VLOOKUP($B$2,Grades!$A:$BV,74,FALSE)="YES",B25&lt;Thresholds_Rates!$C$16),"-",$C25*Thresholds_Rates!$F$15)))</f>
        <v/>
      </c>
      <c r="G25" s="81" t="str">
        <f ca="1">IF(B25="","",IF($B$2="Salary Points 3 to 57","-",IF(SUMIF(Grades!$A:$A,$B$2,Grades!$BP:$BP)=0,"-",IF(AND(OR($B$2="New Consultant Contract"),$B25&lt;&gt;""),$C25*Thresholds_Rates!$F$16,IF(AND(OR($B$2="Clinical Lecturer / Medical Research Fellow",$B$2="Clinical Consultant - Old Contract (GP)"),$B25&lt;&gt;""),$C25*Thresholds_Rates!$F$16,IF(AND(OR($B$2="APM Level 7",$B$2="R&amp;T Level 7"),F25&lt;&gt;""),$C25*Thresholds_Rates!$F$16,IF(SUMIF(Grades!$A:$A,$B$2,Grades!$BP:$BP)=1,$C25*Thresholds_Rates!$F$16,"")))))))</f>
        <v/>
      </c>
      <c r="H25" s="81" t="str">
        <f ca="1">IF($B$2="Apprenticeship","-",IF(B25="","",IF(SUMIF(Grades!$A:$A,$B$2,Grades!$BQ:$BQ)=0,"-",IF(AND($B$2="Salary Points 3 to 57",B25&gt;Thresholds_Rates!$C$17),"-",IF(AND($B$2="Salary Points 3 to 57",B25&lt;=Thresholds_Rates!$C$17),$C25*Thresholds_Rates!$F$17,IF(AND(OR($B$2="New Consultant Contract"),$B25&lt;&gt;""),$C25*Thresholds_Rates!$F$17,IF(AND(OR($B$2="Clinical Lecturer / Medical Research Fellow",$B$2="Clinical Consultant - Old Contract (GP)"),$B25&lt;&gt;""),$C25*Thresholds_Rates!$F$17,IF(AND(OR($B$2="APM Level 7",$B$2="R&amp;T Level 7"),G25&lt;&gt;""),$C25*Thresholds_Rates!$F$17,IF(SUMIF(Grades!$A:$A,$B$2,Grades!$BQ:$BQ)=1,$C25*Thresholds_Rates!$F$17,"")))))))))</f>
        <v/>
      </c>
      <c r="I25" s="81" t="str">
        <f ca="1">IF($B25="","",IF($C25=0,0,ROUND(($C25-(Thresholds_Rates!$C$5*12))*Thresholds_Rates!$C$10,0)))</f>
        <v/>
      </c>
      <c r="J25" s="81" t="str">
        <f ca="1">IF(B25="","",(C25*Thresholds_Rates!$C$12))</f>
        <v/>
      </c>
      <c r="K25" s="81" t="str">
        <f ca="1">IF(B25="","",IF(AND($B$2="Salary Points 3 to 57",B25&gt;Thresholds_Rates!$C$17),"-",IF(SUMIF(Grades!$A:$A,$B$2,Grades!$BR:$BR)=0,"-",IF(AND($B$2="Salary Points 3 to 57",B25&lt;=Thresholds_Rates!$C$17),$C25*Thresholds_Rates!$F$18,IF(AND(OR($B$2="New Consultant Contract"),$B25&lt;&gt;""),$C25*Thresholds_Rates!$F$18,IF(AND(OR($B$2="Clinical Lecturer / Medical Research Fellow",$B$2="Clinical Consultant - Old Contract (GP)"),$B25&lt;&gt;""),$C25*Thresholds_Rates!$F$18,IF(AND(OR($B$2="APM Level 7",$B$2="R&amp;T Level 7"),I25&lt;&gt;""),$C25*Thresholds_Rates!$F$18,IF(SUMIF(Grades!$A:$A,$B$2,Grades!$BQ:$BQ)=1,$C25*Thresholds_Rates!$F$18,""))))))))</f>
        <v/>
      </c>
      <c r="L25" s="68"/>
      <c r="M25" s="81" t="str">
        <f t="shared" ca="1" si="0"/>
        <v/>
      </c>
      <c r="N25" s="81" t="str">
        <f t="shared" ca="1" si="1"/>
        <v/>
      </c>
      <c r="O25" s="81" t="str">
        <f t="shared" ca="1" si="2"/>
        <v/>
      </c>
      <c r="P25" s="81" t="str">
        <f t="shared" ca="1" si="3"/>
        <v/>
      </c>
      <c r="Q25" s="81" t="str">
        <f t="shared" ca="1" si="4"/>
        <v/>
      </c>
      <c r="S25" s="83" t="str">
        <f ca="1">IF(B25="","",IF($B$2="R&amp;T Level 5 - Clinical Lecturers (Vet School)",SUMIF('Points Lookup'!$V:$V,$B25,'Points Lookup'!$W:$W),IF($B$2="R&amp;T Level 6 - Clinical Associate Professors and Clinical Readers (Vet School)",SUMIF('Points Lookup'!$AC:$AC,$B25,'Points Lookup'!$AD:$AD),"")))</f>
        <v/>
      </c>
      <c r="T25" s="84" t="str">
        <f ca="1">IF(B25="","",IF($B$2="R&amp;T Level 5 - Clinical Lecturers (Vet School)",$C25-SUMIF('Points Lookup'!$V:$V,$B25,'Points Lookup'!$X:$X),IF($B$2="R&amp;T Level 6 - Clinical Associate Professors and Clinical Readers (Vet School)",$C25-SUMIF('Points Lookup'!$AC:$AC,$B25,'Points Lookup'!$AE:$AE),"")))</f>
        <v/>
      </c>
      <c r="U25" s="83" t="str">
        <f ca="1">IF(B25="","",IF($B$2="R&amp;T Level 5 - Clinical Lecturers (Vet School)",SUMIF('Points Lookup'!$V:$V,$B25,'Points Lookup'!$Z:$Z),IF($B$2="R&amp;T Level 6 - Clinical Associate Professors and Clinical Readers (Vet School)",SUMIF('Points Lookup'!$AC:$AC,$B25,'Points Lookup'!$AG:$AG),"")))</f>
        <v/>
      </c>
      <c r="V25" s="84" t="str">
        <f t="shared" ca="1" si="5"/>
        <v/>
      </c>
      <c r="AA25" s="39">
        <v>19</v>
      </c>
    </row>
    <row r="26" spans="2:27" x14ac:dyDescent="0.25">
      <c r="B26" s="68" t="str">
        <f ca="1">IFERROR(INDEX('Points Lookup'!$A:$A,MATCH($AA26,'Points Lookup'!$AN:$AN,0)),"")</f>
        <v/>
      </c>
      <c r="C26" s="81" t="str">
        <f ca="1">IF(B26="","",SUMIF(INDIRECT("'Points Lookup'!"&amp;VLOOKUP($B$2,Grades!A:BU,72,FALSE)&amp;":"&amp;VLOOKUP($B$2,Grades!A:BU,72,FALSE)),B26,INDIRECT("'Points Lookup'!"&amp;VLOOKUP($B$2,Grades!A:BU,73,FALSE)&amp;":"&amp;VLOOKUP($B$2,Grades!A:BU,73,FALSE))))</f>
        <v/>
      </c>
      <c r="D26" s="82" t="str">
        <f ca="1">IF(B26="","",IF(AND(VLOOKUP($B$2,Grades!$A:$BS,71,0)="Y",B26&lt;7),VLOOKUP($B26,Thresholds_Rates!$I$15:$J$18,2,FALSE),"-"))</f>
        <v/>
      </c>
      <c r="E26" s="81"/>
      <c r="F26" s="81" t="str">
        <f ca="1">IF($B26="","",IF(SUMIF(Grades!$A:$A,$B$2,Grades!$BO:$BO)=0,"-",IF(AND(VLOOKUP($B$2,Grades!$A:$BV,74,FALSE)="YES",B26&lt;Thresholds_Rates!$C$16),"-",$C26*Thresholds_Rates!$F$15)))</f>
        <v/>
      </c>
      <c r="G26" s="81" t="str">
        <f ca="1">IF(B26="","",IF($B$2="Salary Points 3 to 57","-",IF(SUMIF(Grades!$A:$A,$B$2,Grades!$BP:$BP)=0,"-",IF(AND(OR($B$2="New Consultant Contract"),$B26&lt;&gt;""),$C26*Thresholds_Rates!$F$16,IF(AND(OR($B$2="Clinical Lecturer / Medical Research Fellow",$B$2="Clinical Consultant - Old Contract (GP)"),$B26&lt;&gt;""),$C26*Thresholds_Rates!$F$16,IF(AND(OR($B$2="APM Level 7",$B$2="R&amp;T Level 7"),F26&lt;&gt;""),$C26*Thresholds_Rates!$F$16,IF(SUMIF(Grades!$A:$A,$B$2,Grades!$BP:$BP)=1,$C26*Thresholds_Rates!$F$16,"")))))))</f>
        <v/>
      </c>
      <c r="H26" s="81" t="str">
        <f ca="1">IF($B$2="Apprenticeship","-",IF(B26="","",IF(SUMIF(Grades!$A:$A,$B$2,Grades!$BQ:$BQ)=0,"-",IF(AND($B$2="Salary Points 3 to 57",B26&gt;Thresholds_Rates!$C$17),"-",IF(AND($B$2="Salary Points 3 to 57",B26&lt;=Thresholds_Rates!$C$17),$C26*Thresholds_Rates!$F$17,IF(AND(OR($B$2="New Consultant Contract"),$B26&lt;&gt;""),$C26*Thresholds_Rates!$F$17,IF(AND(OR($B$2="Clinical Lecturer / Medical Research Fellow",$B$2="Clinical Consultant - Old Contract (GP)"),$B26&lt;&gt;""),$C26*Thresholds_Rates!$F$17,IF(AND(OR($B$2="APM Level 7",$B$2="R&amp;T Level 7"),G26&lt;&gt;""),$C26*Thresholds_Rates!$F$17,IF(SUMIF(Grades!$A:$A,$B$2,Grades!$BQ:$BQ)=1,$C26*Thresholds_Rates!$F$17,"")))))))))</f>
        <v/>
      </c>
      <c r="I26" s="81" t="str">
        <f ca="1">IF($B26="","",IF($C26=0,0,ROUND(($C26-(Thresholds_Rates!$C$5*12))*Thresholds_Rates!$C$10,0)))</f>
        <v/>
      </c>
      <c r="J26" s="81" t="str">
        <f ca="1">IF(B26="","",(C26*Thresholds_Rates!$C$12))</f>
        <v/>
      </c>
      <c r="K26" s="81" t="str">
        <f ca="1">IF(B26="","",IF(AND($B$2="Salary Points 3 to 57",B26&gt;Thresholds_Rates!$C$17),"-",IF(SUMIF(Grades!$A:$A,$B$2,Grades!$BR:$BR)=0,"-",IF(AND($B$2="Salary Points 3 to 57",B26&lt;=Thresholds_Rates!$C$17),$C26*Thresholds_Rates!$F$18,IF(AND(OR($B$2="New Consultant Contract"),$B26&lt;&gt;""),$C26*Thresholds_Rates!$F$18,IF(AND(OR($B$2="Clinical Lecturer / Medical Research Fellow",$B$2="Clinical Consultant - Old Contract (GP)"),$B26&lt;&gt;""),$C26*Thresholds_Rates!$F$18,IF(AND(OR($B$2="APM Level 7",$B$2="R&amp;T Level 7"),I26&lt;&gt;""),$C26*Thresholds_Rates!$F$18,IF(SUMIF(Grades!$A:$A,$B$2,Grades!$BQ:$BQ)=1,$C26*Thresholds_Rates!$F$18,""))))))))</f>
        <v/>
      </c>
      <c r="L26" s="68"/>
      <c r="M26" s="81" t="str">
        <f t="shared" ca="1" si="0"/>
        <v/>
      </c>
      <c r="N26" s="81" t="str">
        <f t="shared" ca="1" si="1"/>
        <v/>
      </c>
      <c r="O26" s="81" t="str">
        <f t="shared" ca="1" si="2"/>
        <v/>
      </c>
      <c r="P26" s="81" t="str">
        <f t="shared" ca="1" si="3"/>
        <v/>
      </c>
      <c r="Q26" s="81" t="str">
        <f t="shared" ca="1" si="4"/>
        <v/>
      </c>
      <c r="S26" s="83" t="str">
        <f ca="1">IF(B26="","",IF($B$2="R&amp;T Level 5 - Clinical Lecturers (Vet School)",SUMIF('Points Lookup'!$V:$V,$B26,'Points Lookup'!$W:$W),IF($B$2="R&amp;T Level 6 - Clinical Associate Professors and Clinical Readers (Vet School)",SUMIF('Points Lookup'!$AC:$AC,$B26,'Points Lookup'!$AD:$AD),"")))</f>
        <v/>
      </c>
      <c r="T26" s="84" t="str">
        <f ca="1">IF(B26="","",IF($B$2="R&amp;T Level 5 - Clinical Lecturers (Vet School)",$C26-SUMIF('Points Lookup'!$V:$V,$B26,'Points Lookup'!$X:$X),IF($B$2="R&amp;T Level 6 - Clinical Associate Professors and Clinical Readers (Vet School)",$C26-SUMIF('Points Lookup'!$AC:$AC,$B26,'Points Lookup'!$AE:$AE),"")))</f>
        <v/>
      </c>
      <c r="U26" s="83" t="str">
        <f ca="1">IF(B26="","",IF($B$2="R&amp;T Level 5 - Clinical Lecturers (Vet School)",SUMIF('Points Lookup'!$V:$V,$B26,'Points Lookup'!$Z:$Z),IF($B$2="R&amp;T Level 6 - Clinical Associate Professors and Clinical Readers (Vet School)",SUMIF('Points Lookup'!$AC:$AC,$B26,'Points Lookup'!$AG:$AG),"")))</f>
        <v/>
      </c>
      <c r="V26" s="84" t="str">
        <f t="shared" ca="1" si="5"/>
        <v/>
      </c>
      <c r="AA26" s="39">
        <v>20</v>
      </c>
    </row>
    <row r="27" spans="2:27" x14ac:dyDescent="0.25">
      <c r="B27" s="68" t="str">
        <f ca="1">IFERROR(INDEX('Points Lookup'!$A:$A,MATCH($AA27,'Points Lookup'!$AN:$AN,0)),"")</f>
        <v/>
      </c>
      <c r="C27" s="81" t="str">
        <f ca="1">IF(B27="","",SUMIF(INDIRECT("'Points Lookup'!"&amp;VLOOKUP($B$2,Grades!A:BU,72,FALSE)&amp;":"&amp;VLOOKUP($B$2,Grades!A:BU,72,FALSE)),B27,INDIRECT("'Points Lookup'!"&amp;VLOOKUP($B$2,Grades!A:BU,73,FALSE)&amp;":"&amp;VLOOKUP($B$2,Grades!A:BU,73,FALSE))))</f>
        <v/>
      </c>
      <c r="D27" s="82" t="str">
        <f ca="1">IF(B27="","",IF(AND(VLOOKUP($B$2,Grades!$A:$BS,71,0)="Y",B27&lt;7),VLOOKUP($B27,Thresholds_Rates!$I$15:$J$18,2,FALSE),"-"))</f>
        <v/>
      </c>
      <c r="E27" s="81"/>
      <c r="F27" s="81" t="str">
        <f ca="1">IF($B27="","",IF(SUMIF(Grades!$A:$A,$B$2,Grades!$BO:$BO)=0,"-",IF(AND(VLOOKUP($B$2,Grades!$A:$BV,74,FALSE)="YES",B27&lt;Thresholds_Rates!$C$16),"-",$C27*Thresholds_Rates!$F$15)))</f>
        <v/>
      </c>
      <c r="G27" s="81" t="str">
        <f ca="1">IF(B27="","",IF($B$2="Salary Points 3 to 57","-",IF(SUMIF(Grades!$A:$A,$B$2,Grades!$BP:$BP)=0,"-",IF(AND(OR($B$2="New Consultant Contract"),$B27&lt;&gt;""),$C27*Thresholds_Rates!$F$16,IF(AND(OR($B$2="Clinical Lecturer / Medical Research Fellow",$B$2="Clinical Consultant - Old Contract (GP)"),$B27&lt;&gt;""),$C27*Thresholds_Rates!$F$16,IF(AND(OR($B$2="APM Level 7",$B$2="R&amp;T Level 7"),F27&lt;&gt;""),$C27*Thresholds_Rates!$F$16,IF(SUMIF(Grades!$A:$A,$B$2,Grades!$BP:$BP)=1,$C27*Thresholds_Rates!$F$16,"")))))))</f>
        <v/>
      </c>
      <c r="H27" s="81" t="str">
        <f ca="1">IF($B$2="Apprenticeship","-",IF(B27="","",IF(SUMIF(Grades!$A:$A,$B$2,Grades!$BQ:$BQ)=0,"-",IF(AND($B$2="Salary Points 3 to 57",B27&gt;Thresholds_Rates!$C$17),"-",IF(AND($B$2="Salary Points 3 to 57",B27&lt;=Thresholds_Rates!$C$17),$C27*Thresholds_Rates!$F$17,IF(AND(OR($B$2="New Consultant Contract"),$B27&lt;&gt;""),$C27*Thresholds_Rates!$F$17,IF(AND(OR($B$2="Clinical Lecturer / Medical Research Fellow",$B$2="Clinical Consultant - Old Contract (GP)"),$B27&lt;&gt;""),$C27*Thresholds_Rates!$F$17,IF(AND(OR($B$2="APM Level 7",$B$2="R&amp;T Level 7"),G27&lt;&gt;""),$C27*Thresholds_Rates!$F$17,IF(SUMIF(Grades!$A:$A,$B$2,Grades!$BQ:$BQ)=1,$C27*Thresholds_Rates!$F$17,"")))))))))</f>
        <v/>
      </c>
      <c r="I27" s="81" t="str">
        <f ca="1">IF($B27="","",IF($C27=0,0,ROUND(($C27-(Thresholds_Rates!$C$5*12))*Thresholds_Rates!$C$10,0)))</f>
        <v/>
      </c>
      <c r="J27" s="81" t="str">
        <f ca="1">IF(B27="","",(C27*Thresholds_Rates!$C$12))</f>
        <v/>
      </c>
      <c r="K27" s="81" t="str">
        <f ca="1">IF(B27="","",IF(AND($B$2="Salary Points 3 to 57",B27&gt;Thresholds_Rates!$C$17),"-",IF(SUMIF(Grades!$A:$A,$B$2,Grades!$BR:$BR)=0,"-",IF(AND($B$2="Salary Points 3 to 57",B27&lt;=Thresholds_Rates!$C$17),$C27*Thresholds_Rates!$F$18,IF(AND(OR($B$2="New Consultant Contract"),$B27&lt;&gt;""),$C27*Thresholds_Rates!$F$18,IF(AND(OR($B$2="Clinical Lecturer / Medical Research Fellow",$B$2="Clinical Consultant - Old Contract (GP)"),$B27&lt;&gt;""),$C27*Thresholds_Rates!$F$18,IF(AND(OR($B$2="APM Level 7",$B$2="R&amp;T Level 7"),I27&lt;&gt;""),$C27*Thresholds_Rates!$F$18,IF(SUMIF(Grades!$A:$A,$B$2,Grades!$BQ:$BQ)=1,$C27*Thresholds_Rates!$F$18,""))))))))</f>
        <v/>
      </c>
      <c r="L27" s="68"/>
      <c r="M27" s="81" t="str">
        <f t="shared" ca="1" si="0"/>
        <v/>
      </c>
      <c r="N27" s="81" t="str">
        <f t="shared" ca="1" si="1"/>
        <v/>
      </c>
      <c r="O27" s="81" t="str">
        <f t="shared" ca="1" si="2"/>
        <v/>
      </c>
      <c r="P27" s="81" t="str">
        <f t="shared" ca="1" si="3"/>
        <v/>
      </c>
      <c r="Q27" s="81" t="str">
        <f t="shared" ca="1" si="4"/>
        <v/>
      </c>
      <c r="S27" s="83" t="str">
        <f ca="1">IF(B27="","",IF($B$2="R&amp;T Level 5 - Clinical Lecturers (Vet School)",SUMIF('Points Lookup'!$V:$V,$B27,'Points Lookup'!$W:$W),IF($B$2="R&amp;T Level 6 - Clinical Associate Professors and Clinical Readers (Vet School)",SUMIF('Points Lookup'!$AC:$AC,$B27,'Points Lookup'!$AD:$AD),"")))</f>
        <v/>
      </c>
      <c r="T27" s="84" t="str">
        <f ca="1">IF(B27="","",IF($B$2="R&amp;T Level 5 - Clinical Lecturers (Vet School)",$C27-SUMIF('Points Lookup'!$V:$V,$B27,'Points Lookup'!$X:$X),IF($B$2="R&amp;T Level 6 - Clinical Associate Professors and Clinical Readers (Vet School)",$C27-SUMIF('Points Lookup'!$AC:$AC,$B27,'Points Lookup'!$AE:$AE),"")))</f>
        <v/>
      </c>
      <c r="U27" s="83" t="str">
        <f ca="1">IF(B27="","",IF($B$2="R&amp;T Level 5 - Clinical Lecturers (Vet School)",SUMIF('Points Lookup'!$V:$V,$B27,'Points Lookup'!$Z:$Z),IF($B$2="R&amp;T Level 6 - Clinical Associate Professors and Clinical Readers (Vet School)",SUMIF('Points Lookup'!$AC:$AC,$B27,'Points Lookup'!$AG:$AG),"")))</f>
        <v/>
      </c>
      <c r="V27" s="84" t="str">
        <f t="shared" ca="1" si="5"/>
        <v/>
      </c>
      <c r="AA27" s="39">
        <v>21</v>
      </c>
    </row>
    <row r="28" spans="2:27" x14ac:dyDescent="0.25">
      <c r="B28" s="68" t="str">
        <f ca="1">IFERROR(INDEX('Points Lookup'!$A:$A,MATCH($AA28,'Points Lookup'!$AN:$AN,0)),"")</f>
        <v/>
      </c>
      <c r="C28" s="81" t="str">
        <f ca="1">IF(B28="","",SUMIF(INDIRECT("'Points Lookup'!"&amp;VLOOKUP($B$2,Grades!A:BU,72,FALSE)&amp;":"&amp;VLOOKUP($B$2,Grades!A:BU,72,FALSE)),B28,INDIRECT("'Points Lookup'!"&amp;VLOOKUP($B$2,Grades!A:BU,73,FALSE)&amp;":"&amp;VLOOKUP($B$2,Grades!A:BU,73,FALSE))))</f>
        <v/>
      </c>
      <c r="D28" s="82" t="str">
        <f ca="1">IF(B28="","",IF(AND(VLOOKUP($B$2,Grades!$A:$BS,71,0)="Y",B28&lt;7),VLOOKUP($B28,Thresholds_Rates!$I$15:$J$18,2,FALSE),"-"))</f>
        <v/>
      </c>
      <c r="E28" s="81"/>
      <c r="F28" s="81" t="str">
        <f ca="1">IF($B28="","",IF(SUMIF(Grades!$A:$A,$B$2,Grades!$BO:$BO)=0,"-",IF(AND(VLOOKUP($B$2,Grades!$A:$BV,74,FALSE)="YES",B28&lt;Thresholds_Rates!$C$16),"-",$C28*Thresholds_Rates!$F$15)))</f>
        <v/>
      </c>
      <c r="G28" s="81" t="str">
        <f ca="1">IF(B28="","",IF($B$2="Salary Points 3 to 57","-",IF(SUMIF(Grades!$A:$A,$B$2,Grades!$BP:$BP)=0,"-",IF(AND(OR($B$2="New Consultant Contract"),$B28&lt;&gt;""),$C28*Thresholds_Rates!$F$16,IF(AND(OR($B$2="Clinical Lecturer / Medical Research Fellow",$B$2="Clinical Consultant - Old Contract (GP)"),$B28&lt;&gt;""),$C28*Thresholds_Rates!$F$16,IF(AND(OR($B$2="APM Level 7",$B$2="R&amp;T Level 7"),F28&lt;&gt;""),$C28*Thresholds_Rates!$F$16,IF(SUMIF(Grades!$A:$A,$B$2,Grades!$BP:$BP)=1,$C28*Thresholds_Rates!$F$16,"")))))))</f>
        <v/>
      </c>
      <c r="H28" s="81" t="str">
        <f ca="1">IF($B$2="Apprenticeship","-",IF(B28="","",IF(SUMIF(Grades!$A:$A,$B$2,Grades!$BQ:$BQ)=0,"-",IF(AND($B$2="Salary Points 3 to 57",B28&gt;Thresholds_Rates!$C$17),"-",IF(AND($B$2="Salary Points 3 to 57",B28&lt;=Thresholds_Rates!$C$17),$C28*Thresholds_Rates!$F$17,IF(AND(OR($B$2="New Consultant Contract"),$B28&lt;&gt;""),$C28*Thresholds_Rates!$F$17,IF(AND(OR($B$2="Clinical Lecturer / Medical Research Fellow",$B$2="Clinical Consultant - Old Contract (GP)"),$B28&lt;&gt;""),$C28*Thresholds_Rates!$F$17,IF(AND(OR($B$2="APM Level 7",$B$2="R&amp;T Level 7"),G28&lt;&gt;""),$C28*Thresholds_Rates!$F$17,IF(SUMIF(Grades!$A:$A,$B$2,Grades!$BQ:$BQ)=1,$C28*Thresholds_Rates!$F$17,"")))))))))</f>
        <v/>
      </c>
      <c r="I28" s="81" t="str">
        <f ca="1">IF($B28="","",IF($C28=0,0,ROUND(($C28-(Thresholds_Rates!$C$5*12))*Thresholds_Rates!$C$10,0)))</f>
        <v/>
      </c>
      <c r="J28" s="81" t="str">
        <f ca="1">IF(B28="","",(C28*Thresholds_Rates!$C$12))</f>
        <v/>
      </c>
      <c r="K28" s="81" t="str">
        <f ca="1">IF(B28="","",IF(AND($B$2="Salary Points 3 to 57",B28&gt;Thresholds_Rates!$C$17),"-",IF(SUMIF(Grades!$A:$A,$B$2,Grades!$BR:$BR)=0,"-",IF(AND($B$2="Salary Points 3 to 57",B28&lt;=Thresholds_Rates!$C$17),$C28*Thresholds_Rates!$F$18,IF(AND(OR($B$2="New Consultant Contract"),$B28&lt;&gt;""),$C28*Thresholds_Rates!$F$18,IF(AND(OR($B$2="Clinical Lecturer / Medical Research Fellow",$B$2="Clinical Consultant - Old Contract (GP)"),$B28&lt;&gt;""),$C28*Thresholds_Rates!$F$18,IF(AND(OR($B$2="APM Level 7",$B$2="R&amp;T Level 7"),I28&lt;&gt;""),$C28*Thresholds_Rates!$F$18,IF(SUMIF(Grades!$A:$A,$B$2,Grades!$BQ:$BQ)=1,$C28*Thresholds_Rates!$F$18,""))))))))</f>
        <v/>
      </c>
      <c r="L28" s="68"/>
      <c r="M28" s="81" t="str">
        <f t="shared" ca="1" si="0"/>
        <v/>
      </c>
      <c r="N28" s="81" t="str">
        <f t="shared" ca="1" si="1"/>
        <v/>
      </c>
      <c r="O28" s="81" t="str">
        <f t="shared" ca="1" si="2"/>
        <v/>
      </c>
      <c r="P28" s="81" t="str">
        <f t="shared" ca="1" si="3"/>
        <v/>
      </c>
      <c r="Q28" s="81" t="str">
        <f t="shared" ca="1" si="4"/>
        <v/>
      </c>
      <c r="S28" s="83" t="str">
        <f ca="1">IF(B28="","",IF($B$2="R&amp;T Level 5 - Clinical Lecturers (Vet School)",SUMIF('Points Lookup'!$V:$V,$B28,'Points Lookup'!$W:$W),IF($B$2="R&amp;T Level 6 - Clinical Associate Professors and Clinical Readers (Vet School)",SUMIF('Points Lookup'!$AC:$AC,$B28,'Points Lookup'!$AD:$AD),"")))</f>
        <v/>
      </c>
      <c r="T28" s="84" t="str">
        <f ca="1">IF(B28="","",IF($B$2="R&amp;T Level 5 - Clinical Lecturers (Vet School)",$C28-SUMIF('Points Lookup'!$V:$V,$B28,'Points Lookup'!$X:$X),IF($B$2="R&amp;T Level 6 - Clinical Associate Professors and Clinical Readers (Vet School)",$C28-SUMIF('Points Lookup'!$AC:$AC,$B28,'Points Lookup'!$AE:$AE),"")))</f>
        <v/>
      </c>
      <c r="U28" s="83" t="str">
        <f ca="1">IF(B28="","",IF($B$2="R&amp;T Level 5 - Clinical Lecturers (Vet School)",SUMIF('Points Lookup'!$V:$V,$B28,'Points Lookup'!$Z:$Z),IF($B$2="R&amp;T Level 6 - Clinical Associate Professors and Clinical Readers (Vet School)",SUMIF('Points Lookup'!$AC:$AC,$B28,'Points Lookup'!$AG:$AG),"")))</f>
        <v/>
      </c>
      <c r="V28" s="84" t="str">
        <f t="shared" ca="1" si="5"/>
        <v/>
      </c>
      <c r="AA28" s="39">
        <v>22</v>
      </c>
    </row>
    <row r="29" spans="2:27" x14ac:dyDescent="0.25">
      <c r="B29" s="68" t="str">
        <f ca="1">IFERROR(INDEX('Points Lookup'!$A:$A,MATCH($AA29,'Points Lookup'!$AN:$AN,0)),"")</f>
        <v/>
      </c>
      <c r="C29" s="81" t="str">
        <f ca="1">IF(B29="","",SUMIF(INDIRECT("'Points Lookup'!"&amp;VLOOKUP($B$2,Grades!A:BU,72,FALSE)&amp;":"&amp;VLOOKUP($B$2,Grades!A:BU,72,FALSE)),B29,INDIRECT("'Points Lookup'!"&amp;VLOOKUP($B$2,Grades!A:BU,73,FALSE)&amp;":"&amp;VLOOKUP($B$2,Grades!A:BU,73,FALSE))))</f>
        <v/>
      </c>
      <c r="D29" s="82" t="str">
        <f ca="1">IF(B29="","",IF(AND(VLOOKUP($B$2,Grades!$A:$BS,71,0)="Y",B29&lt;7),VLOOKUP($B29,Thresholds_Rates!$I$15:$J$18,2,FALSE),"-"))</f>
        <v/>
      </c>
      <c r="E29" s="81"/>
      <c r="F29" s="81" t="str">
        <f ca="1">IF($B29="","",IF(SUMIF(Grades!$A:$A,$B$2,Grades!$BO:$BO)=0,"-",IF(AND(VLOOKUP($B$2,Grades!$A:$BV,74,FALSE)="YES",B29&lt;Thresholds_Rates!$C$16),"-",$C29*Thresholds_Rates!$F$15)))</f>
        <v/>
      </c>
      <c r="G29" s="81" t="str">
        <f ca="1">IF(B29="","",IF($B$2="Salary Points 3 to 57","-",IF(SUMIF(Grades!$A:$A,$B$2,Grades!$BP:$BP)=0,"-",IF(AND(OR($B$2="New Consultant Contract"),$B29&lt;&gt;""),$C29*Thresholds_Rates!$F$16,IF(AND(OR($B$2="Clinical Lecturer / Medical Research Fellow",$B$2="Clinical Consultant - Old Contract (GP)"),$B29&lt;&gt;""),$C29*Thresholds_Rates!$F$16,IF(AND(OR($B$2="APM Level 7",$B$2="R&amp;T Level 7"),F29&lt;&gt;""),$C29*Thresholds_Rates!$F$16,IF(SUMIF(Grades!$A:$A,$B$2,Grades!$BP:$BP)=1,$C29*Thresholds_Rates!$F$16,"")))))))</f>
        <v/>
      </c>
      <c r="H29" s="81" t="str">
        <f ca="1">IF($B$2="Apprenticeship","-",IF(B29="","",IF(SUMIF(Grades!$A:$A,$B$2,Grades!$BQ:$BQ)=0,"-",IF(AND($B$2="Salary Points 3 to 57",B29&gt;Thresholds_Rates!$C$17),"-",IF(AND($B$2="Salary Points 3 to 57",B29&lt;=Thresholds_Rates!$C$17),$C29*Thresholds_Rates!$F$17,IF(AND(OR($B$2="New Consultant Contract"),$B29&lt;&gt;""),$C29*Thresholds_Rates!$F$17,IF(AND(OR($B$2="Clinical Lecturer / Medical Research Fellow",$B$2="Clinical Consultant - Old Contract (GP)"),$B29&lt;&gt;""),$C29*Thresholds_Rates!$F$17,IF(AND(OR($B$2="APM Level 7",$B$2="R&amp;T Level 7"),G29&lt;&gt;""),$C29*Thresholds_Rates!$F$17,IF(SUMIF(Grades!$A:$A,$B$2,Grades!$BQ:$BQ)=1,$C29*Thresholds_Rates!$F$17,"")))))))))</f>
        <v/>
      </c>
      <c r="I29" s="81" t="str">
        <f ca="1">IF($B29="","",IF($C29=0,0,ROUND(($C29-(Thresholds_Rates!$C$5*12))*Thresholds_Rates!$C$10,0)))</f>
        <v/>
      </c>
      <c r="J29" s="81" t="str">
        <f ca="1">IF(B29="","",(C29*Thresholds_Rates!$C$12))</f>
        <v/>
      </c>
      <c r="K29" s="81" t="str">
        <f ca="1">IF(B29="","",IF(AND($B$2="Salary Points 3 to 57",B29&gt;Thresholds_Rates!$C$17),"-",IF(SUMIF(Grades!$A:$A,$B$2,Grades!$BR:$BR)=0,"-",IF(AND($B$2="Salary Points 3 to 57",B29&lt;=Thresholds_Rates!$C$17),$C29*Thresholds_Rates!$F$18,IF(AND(OR($B$2="New Consultant Contract"),$B29&lt;&gt;""),$C29*Thresholds_Rates!$F$18,IF(AND(OR($B$2="Clinical Lecturer / Medical Research Fellow",$B$2="Clinical Consultant - Old Contract (GP)"),$B29&lt;&gt;""),$C29*Thresholds_Rates!$F$18,IF(AND(OR($B$2="APM Level 7",$B$2="R&amp;T Level 7"),I29&lt;&gt;""),$C29*Thresholds_Rates!$F$18,IF(SUMIF(Grades!$A:$A,$B$2,Grades!$BQ:$BQ)=1,$C29*Thresholds_Rates!$F$18,""))))))))</f>
        <v/>
      </c>
      <c r="L29" s="68"/>
      <c r="M29" s="81" t="str">
        <f t="shared" ca="1" si="0"/>
        <v/>
      </c>
      <c r="N29" s="81" t="str">
        <f t="shared" ca="1" si="1"/>
        <v/>
      </c>
      <c r="O29" s="81" t="str">
        <f t="shared" ca="1" si="2"/>
        <v/>
      </c>
      <c r="P29" s="81" t="str">
        <f t="shared" ca="1" si="3"/>
        <v/>
      </c>
      <c r="Q29" s="81" t="str">
        <f t="shared" ca="1" si="4"/>
        <v/>
      </c>
      <c r="S29" s="83" t="str">
        <f ca="1">IF(B29="","",IF($B$2="R&amp;T Level 5 - Clinical Lecturers (Vet School)",SUMIF('Points Lookup'!$V:$V,$B29,'Points Lookup'!$W:$W),IF($B$2="R&amp;T Level 6 - Clinical Associate Professors and Clinical Readers (Vet School)",SUMIF('Points Lookup'!$AC:$AC,$B29,'Points Lookup'!$AD:$AD),"")))</f>
        <v/>
      </c>
      <c r="T29" s="84" t="str">
        <f ca="1">IF(B29="","",IF($B$2="R&amp;T Level 5 - Clinical Lecturers (Vet School)",$C29-SUMIF('Points Lookup'!$V:$V,$B29,'Points Lookup'!$X:$X),IF($B$2="R&amp;T Level 6 - Clinical Associate Professors and Clinical Readers (Vet School)",$C29-SUMIF('Points Lookup'!$AC:$AC,$B29,'Points Lookup'!$AE:$AE),"")))</f>
        <v/>
      </c>
      <c r="U29" s="83" t="str">
        <f ca="1">IF(B29="","",IF($B$2="R&amp;T Level 5 - Clinical Lecturers (Vet School)",SUMIF('Points Lookup'!$V:$V,$B29,'Points Lookup'!$Z:$Z),IF($B$2="R&amp;T Level 6 - Clinical Associate Professors and Clinical Readers (Vet School)",SUMIF('Points Lookup'!$AC:$AC,$B29,'Points Lookup'!$AG:$AG),"")))</f>
        <v/>
      </c>
      <c r="V29" s="84" t="str">
        <f t="shared" ca="1" si="5"/>
        <v/>
      </c>
      <c r="AA29" s="39">
        <v>23</v>
      </c>
    </row>
    <row r="30" spans="2:27" x14ac:dyDescent="0.25">
      <c r="B30" s="68" t="str">
        <f ca="1">IFERROR(INDEX('Points Lookup'!$A:$A,MATCH($AA30,'Points Lookup'!$AN:$AN,0)),"")</f>
        <v/>
      </c>
      <c r="C30" s="81" t="str">
        <f ca="1">IF(B30="","",SUMIF(INDIRECT("'Points Lookup'!"&amp;VLOOKUP($B$2,Grades!A:BU,72,FALSE)&amp;":"&amp;VLOOKUP($B$2,Grades!A:BU,72,FALSE)),B30,INDIRECT("'Points Lookup'!"&amp;VLOOKUP($B$2,Grades!A:BU,73,FALSE)&amp;":"&amp;VLOOKUP($B$2,Grades!A:BU,73,FALSE))))</f>
        <v/>
      </c>
      <c r="D30" s="82" t="str">
        <f ca="1">IF(B30="","",IF(AND(VLOOKUP($B$2,Grades!$A:$BS,71,0)="Y",B30&lt;7),VLOOKUP($B30,Thresholds_Rates!$I$15:$J$18,2,FALSE),"-"))</f>
        <v/>
      </c>
      <c r="E30" s="81"/>
      <c r="F30" s="81" t="str">
        <f ca="1">IF($B30="","",IF(SUMIF(Grades!$A:$A,$B$2,Grades!$BO:$BO)=0,"-",IF(AND(VLOOKUP($B$2,Grades!$A:$BV,74,FALSE)="YES",B30&lt;Thresholds_Rates!$C$16),"-",$C30*Thresholds_Rates!$F$15)))</f>
        <v/>
      </c>
      <c r="G30" s="81" t="str">
        <f ca="1">IF(B30="","",IF($B$2="Salary Points 3 to 57","-",IF(SUMIF(Grades!$A:$A,$B$2,Grades!$BP:$BP)=0,"-",IF(AND(OR($B$2="New Consultant Contract"),$B30&lt;&gt;""),$C30*Thresholds_Rates!$F$16,IF(AND(OR($B$2="Clinical Lecturer / Medical Research Fellow",$B$2="Clinical Consultant - Old Contract (GP)"),$B30&lt;&gt;""),$C30*Thresholds_Rates!$F$16,IF(AND(OR($B$2="APM Level 7",$B$2="R&amp;T Level 7"),F30&lt;&gt;""),$C30*Thresholds_Rates!$F$16,IF(SUMIF(Grades!$A:$A,$B$2,Grades!$BP:$BP)=1,$C30*Thresholds_Rates!$F$16,"")))))))</f>
        <v/>
      </c>
      <c r="H30" s="81" t="str">
        <f ca="1">IF($B$2="Apprenticeship","-",IF(B30="","",IF(SUMIF(Grades!$A:$A,$B$2,Grades!$BQ:$BQ)=0,"-",IF(AND($B$2="Salary Points 3 to 57",B30&gt;Thresholds_Rates!$C$17),"-",IF(AND($B$2="Salary Points 3 to 57",B30&lt;=Thresholds_Rates!$C$17),$C30*Thresholds_Rates!$F$17,IF(AND(OR($B$2="New Consultant Contract"),$B30&lt;&gt;""),$C30*Thresholds_Rates!$F$17,IF(AND(OR($B$2="Clinical Lecturer / Medical Research Fellow",$B$2="Clinical Consultant - Old Contract (GP)"),$B30&lt;&gt;""),$C30*Thresholds_Rates!$F$17,IF(AND(OR($B$2="APM Level 7",$B$2="R&amp;T Level 7"),G30&lt;&gt;""),$C30*Thresholds_Rates!$F$17,IF(SUMIF(Grades!$A:$A,$B$2,Grades!$BQ:$BQ)=1,$C30*Thresholds_Rates!$F$17,"")))))))))</f>
        <v/>
      </c>
      <c r="I30" s="81" t="str">
        <f ca="1">IF($B30="","",IF($C30=0,0,ROUND(($C30-(Thresholds_Rates!$C$5*12))*Thresholds_Rates!$C$10,0)))</f>
        <v/>
      </c>
      <c r="J30" s="81" t="str">
        <f ca="1">IF(B30="","",(C30*Thresholds_Rates!$C$12))</f>
        <v/>
      </c>
      <c r="K30" s="81" t="str">
        <f ca="1">IF(B30="","",IF(AND($B$2="Salary Points 3 to 57",B30&gt;Thresholds_Rates!$C$17),"-",IF(SUMIF(Grades!$A:$A,$B$2,Grades!$BR:$BR)=0,"-",IF(AND($B$2="Salary Points 3 to 57",B30&lt;=Thresholds_Rates!$C$17),$C30*Thresholds_Rates!$F$18,IF(AND(OR($B$2="New Consultant Contract"),$B30&lt;&gt;""),$C30*Thresholds_Rates!$F$18,IF(AND(OR($B$2="Clinical Lecturer / Medical Research Fellow",$B$2="Clinical Consultant - Old Contract (GP)"),$B30&lt;&gt;""),$C30*Thresholds_Rates!$F$18,IF(AND(OR($B$2="APM Level 7",$B$2="R&amp;T Level 7"),I30&lt;&gt;""),$C30*Thresholds_Rates!$F$18,IF(SUMIF(Grades!$A:$A,$B$2,Grades!$BQ:$BQ)=1,$C30*Thresholds_Rates!$F$18,""))))))))</f>
        <v/>
      </c>
      <c r="L30" s="68"/>
      <c r="M30" s="81" t="str">
        <f t="shared" ca="1" si="0"/>
        <v/>
      </c>
      <c r="N30" s="81" t="str">
        <f t="shared" ca="1" si="1"/>
        <v/>
      </c>
      <c r="O30" s="81" t="str">
        <f t="shared" ca="1" si="2"/>
        <v/>
      </c>
      <c r="P30" s="81" t="str">
        <f t="shared" ca="1" si="3"/>
        <v/>
      </c>
      <c r="Q30" s="81" t="str">
        <f t="shared" ca="1" si="4"/>
        <v/>
      </c>
      <c r="S30" s="83" t="str">
        <f ca="1">IF(B30="","",IF($B$2="R&amp;T Level 5 - Clinical Lecturers (Vet School)",SUMIF('Points Lookup'!$V:$V,$B30,'Points Lookup'!$W:$W),IF($B$2="R&amp;T Level 6 - Clinical Associate Professors and Clinical Readers (Vet School)",SUMIF('Points Lookup'!$AC:$AC,$B30,'Points Lookup'!$AD:$AD),"")))</f>
        <v/>
      </c>
      <c r="T30" s="84" t="str">
        <f ca="1">IF(B30="","",IF($B$2="R&amp;T Level 5 - Clinical Lecturers (Vet School)",$C30-SUMIF('Points Lookup'!$V:$V,$B30,'Points Lookup'!$X:$X),IF($B$2="R&amp;T Level 6 - Clinical Associate Professors and Clinical Readers (Vet School)",$C30-SUMIF('Points Lookup'!$AC:$AC,$B30,'Points Lookup'!$AE:$AE),"")))</f>
        <v/>
      </c>
      <c r="U30" s="83" t="str">
        <f ca="1">IF(B30="","",IF($B$2="R&amp;T Level 5 - Clinical Lecturers (Vet School)",SUMIF('Points Lookup'!$V:$V,$B30,'Points Lookup'!$Z:$Z),IF($B$2="R&amp;T Level 6 - Clinical Associate Professors and Clinical Readers (Vet School)",SUMIF('Points Lookup'!$AC:$AC,$B30,'Points Lookup'!$AG:$AG),"")))</f>
        <v/>
      </c>
      <c r="V30" s="84" t="str">
        <f t="shared" ca="1" si="5"/>
        <v/>
      </c>
      <c r="AA30" s="39">
        <v>24</v>
      </c>
    </row>
    <row r="31" spans="2:27" x14ac:dyDescent="0.25">
      <c r="B31" s="68" t="str">
        <f ca="1">IFERROR(INDEX('Points Lookup'!$A:$A,MATCH($AA31,'Points Lookup'!$AN:$AN,0)),"")</f>
        <v/>
      </c>
      <c r="C31" s="81" t="str">
        <f ca="1">IF(B31="","",SUMIF(INDIRECT("'Points Lookup'!"&amp;VLOOKUP($B$2,Grades!A:BU,72,FALSE)&amp;":"&amp;VLOOKUP($B$2,Grades!A:BU,72,FALSE)),B31,INDIRECT("'Points Lookup'!"&amp;VLOOKUP($B$2,Grades!A:BU,73,FALSE)&amp;":"&amp;VLOOKUP($B$2,Grades!A:BU,73,FALSE))))</f>
        <v/>
      </c>
      <c r="D31" s="82" t="str">
        <f ca="1">IF(B31="","",IF(AND(VLOOKUP($B$2,Grades!$A:$BS,71,0)="Y",B31&lt;7),VLOOKUP($B31,Thresholds_Rates!$I$15:$J$18,2,FALSE),"-"))</f>
        <v/>
      </c>
      <c r="E31" s="81"/>
      <c r="F31" s="81" t="str">
        <f ca="1">IF($B31="","",IF(SUMIF(Grades!$A:$A,$B$2,Grades!$BO:$BO)=0,"-",IF(AND(VLOOKUP($B$2,Grades!$A:$BV,74,FALSE)="YES",B31&lt;Thresholds_Rates!$C$16),"-",$C31*Thresholds_Rates!$F$15)))</f>
        <v/>
      </c>
      <c r="G31" s="81" t="str">
        <f ca="1">IF(B31="","",IF($B$2="Salary Points 3 to 57","-",IF(SUMIF(Grades!$A:$A,$B$2,Grades!$BP:$BP)=0,"-",IF(AND(OR($B$2="New Consultant Contract"),$B31&lt;&gt;""),$C31*Thresholds_Rates!$F$16,IF(AND(OR($B$2="Clinical Lecturer / Medical Research Fellow",$B$2="Clinical Consultant - Old Contract (GP)"),$B31&lt;&gt;""),$C31*Thresholds_Rates!$F$16,IF(AND(OR($B$2="APM Level 7",$B$2="R&amp;T Level 7"),F31&lt;&gt;""),$C31*Thresholds_Rates!$F$16,IF(SUMIF(Grades!$A:$A,$B$2,Grades!$BP:$BP)=1,$C31*Thresholds_Rates!$F$16,"")))))))</f>
        <v/>
      </c>
      <c r="H31" s="81" t="str">
        <f ca="1">IF($B$2="Apprenticeship","-",IF(B31="","",IF(SUMIF(Grades!$A:$A,$B$2,Grades!$BQ:$BQ)=0,"-",IF(AND($B$2="Salary Points 3 to 57",B31&gt;Thresholds_Rates!$C$17),"-",IF(AND($B$2="Salary Points 3 to 57",B31&lt;=Thresholds_Rates!$C$17),$C31*Thresholds_Rates!$F$17,IF(AND(OR($B$2="New Consultant Contract"),$B31&lt;&gt;""),$C31*Thresholds_Rates!$F$17,IF(AND(OR($B$2="Clinical Lecturer / Medical Research Fellow",$B$2="Clinical Consultant - Old Contract (GP)"),$B31&lt;&gt;""),$C31*Thresholds_Rates!$F$17,IF(AND(OR($B$2="APM Level 7",$B$2="R&amp;T Level 7"),G31&lt;&gt;""),$C31*Thresholds_Rates!$F$17,IF(SUMIF(Grades!$A:$A,$B$2,Grades!$BQ:$BQ)=1,$C31*Thresholds_Rates!$F$17,"")))))))))</f>
        <v/>
      </c>
      <c r="I31" s="81" t="str">
        <f ca="1">IF($B31="","",IF($C31=0,0,ROUND(($C31-(Thresholds_Rates!$C$5*12))*Thresholds_Rates!$C$10,0)))</f>
        <v/>
      </c>
      <c r="J31" s="81" t="str">
        <f ca="1">IF(B31="","",(C31*Thresholds_Rates!$C$12))</f>
        <v/>
      </c>
      <c r="K31" s="81" t="str">
        <f ca="1">IF(B31="","",IF(AND($B$2="Salary Points 3 to 57",B31&gt;Thresholds_Rates!$C$17),"-",IF(SUMIF(Grades!$A:$A,$B$2,Grades!$BR:$BR)=0,"-",IF(AND($B$2="Salary Points 3 to 57",B31&lt;=Thresholds_Rates!$C$17),$C31*Thresholds_Rates!$F$18,IF(AND(OR($B$2="New Consultant Contract"),$B31&lt;&gt;""),$C31*Thresholds_Rates!$F$18,IF(AND(OR($B$2="Clinical Lecturer / Medical Research Fellow",$B$2="Clinical Consultant - Old Contract (GP)"),$B31&lt;&gt;""),$C31*Thresholds_Rates!$F$18,IF(AND(OR($B$2="APM Level 7",$B$2="R&amp;T Level 7"),I31&lt;&gt;""),$C31*Thresholds_Rates!$F$18,IF(SUMIF(Grades!$A:$A,$B$2,Grades!$BQ:$BQ)=1,$C31*Thresholds_Rates!$F$18,""))))))))</f>
        <v/>
      </c>
      <c r="L31" s="68"/>
      <c r="M31" s="81" t="str">
        <f t="shared" ca="1" si="0"/>
        <v/>
      </c>
      <c r="N31" s="81" t="str">
        <f t="shared" ca="1" si="1"/>
        <v/>
      </c>
      <c r="O31" s="81" t="str">
        <f t="shared" ca="1" si="2"/>
        <v/>
      </c>
      <c r="P31" s="81" t="str">
        <f t="shared" ca="1" si="3"/>
        <v/>
      </c>
      <c r="Q31" s="81" t="str">
        <f t="shared" ca="1" si="4"/>
        <v/>
      </c>
      <c r="S31" s="83" t="str">
        <f ca="1">IF(B31="","",IF($B$2="R&amp;T Level 5 - Clinical Lecturers (Vet School)",SUMIF('Points Lookup'!$V:$V,$B31,'Points Lookup'!$W:$W),IF($B$2="R&amp;T Level 6 - Clinical Associate Professors and Clinical Readers (Vet School)",SUMIF('Points Lookup'!$AC:$AC,$B31,'Points Lookup'!$AD:$AD),"")))</f>
        <v/>
      </c>
      <c r="T31" s="84" t="str">
        <f ca="1">IF(B31="","",IF($B$2="R&amp;T Level 5 - Clinical Lecturers (Vet School)",$C31-SUMIF('Points Lookup'!$V:$V,$B31,'Points Lookup'!$X:$X),IF($B$2="R&amp;T Level 6 - Clinical Associate Professors and Clinical Readers (Vet School)",$C31-SUMIF('Points Lookup'!$AC:$AC,$B31,'Points Lookup'!$AE:$AE),"")))</f>
        <v/>
      </c>
      <c r="U31" s="83" t="str">
        <f ca="1">IF(B31="","",IF($B$2="R&amp;T Level 5 - Clinical Lecturers (Vet School)",SUMIF('Points Lookup'!$V:$V,$B31,'Points Lookup'!$Z:$Z),IF($B$2="R&amp;T Level 6 - Clinical Associate Professors and Clinical Readers (Vet School)",SUMIF('Points Lookup'!$AC:$AC,$B31,'Points Lookup'!$AG:$AG),"")))</f>
        <v/>
      </c>
      <c r="V31" s="84" t="str">
        <f t="shared" ca="1" si="5"/>
        <v/>
      </c>
      <c r="AA31" s="39">
        <v>25</v>
      </c>
    </row>
    <row r="32" spans="2:27" x14ac:dyDescent="0.25">
      <c r="B32" s="68" t="str">
        <f ca="1">IFERROR(INDEX('Points Lookup'!$A:$A,MATCH($AA32,'Points Lookup'!$AN:$AN,0)),"")</f>
        <v/>
      </c>
      <c r="C32" s="81" t="str">
        <f ca="1">IF(B32="","",SUMIF(INDIRECT("'Points Lookup'!"&amp;VLOOKUP($B$2,Grades!A:BU,72,FALSE)&amp;":"&amp;VLOOKUP($B$2,Grades!A:BU,72,FALSE)),B32,INDIRECT("'Points Lookup'!"&amp;VLOOKUP($B$2,Grades!A:BU,73,FALSE)&amp;":"&amp;VLOOKUP($B$2,Grades!A:BU,73,FALSE))))</f>
        <v/>
      </c>
      <c r="D32" s="82" t="str">
        <f ca="1">IF(B32="","",IF(AND(VLOOKUP($B$2,Grades!$A:$BS,71,0)="Y",B32&lt;7),VLOOKUP($B32,Thresholds_Rates!$I$15:$J$18,2,FALSE),"-"))</f>
        <v/>
      </c>
      <c r="E32" s="81"/>
      <c r="F32" s="81" t="str">
        <f ca="1">IF($B32="","",IF(SUMIF(Grades!$A:$A,$B$2,Grades!$BO:$BO)=0,"-",IF(AND(VLOOKUP($B$2,Grades!$A:$BV,74,FALSE)="YES",B32&lt;Thresholds_Rates!$C$16),"-",$C32*Thresholds_Rates!$F$15)))</f>
        <v/>
      </c>
      <c r="G32" s="81" t="str">
        <f ca="1">IF(B32="","",IF($B$2="Salary Points 3 to 57","-",IF(SUMIF(Grades!$A:$A,$B$2,Grades!$BP:$BP)=0,"-",IF(AND(OR($B$2="New Consultant Contract"),$B32&lt;&gt;""),$C32*Thresholds_Rates!$F$16,IF(AND(OR($B$2="Clinical Lecturer / Medical Research Fellow",$B$2="Clinical Consultant - Old Contract (GP)"),$B32&lt;&gt;""),$C32*Thresholds_Rates!$F$16,IF(AND(OR($B$2="APM Level 7",$B$2="R&amp;T Level 7"),F32&lt;&gt;""),$C32*Thresholds_Rates!$F$16,IF(SUMIF(Grades!$A:$A,$B$2,Grades!$BP:$BP)=1,$C32*Thresholds_Rates!$F$16,"")))))))</f>
        <v/>
      </c>
      <c r="H32" s="81" t="str">
        <f ca="1">IF($B$2="Apprenticeship","-",IF(B32="","",IF(SUMIF(Grades!$A:$A,$B$2,Grades!$BQ:$BQ)=0,"-",IF(AND($B$2="Salary Points 3 to 57",B32&gt;Thresholds_Rates!$C$17),"-",IF(AND($B$2="Salary Points 3 to 57",B32&lt;=Thresholds_Rates!$C$17),$C32*Thresholds_Rates!$F$17,IF(AND(OR($B$2="New Consultant Contract"),$B32&lt;&gt;""),$C32*Thresholds_Rates!$F$17,IF(AND(OR($B$2="Clinical Lecturer / Medical Research Fellow",$B$2="Clinical Consultant - Old Contract (GP)"),$B32&lt;&gt;""),$C32*Thresholds_Rates!$F$17,IF(AND(OR($B$2="APM Level 7",$B$2="R&amp;T Level 7"),G32&lt;&gt;""),$C32*Thresholds_Rates!$F$17,IF(SUMIF(Grades!$A:$A,$B$2,Grades!$BQ:$BQ)=1,$C32*Thresholds_Rates!$F$17,"")))))))))</f>
        <v/>
      </c>
      <c r="I32" s="81" t="str">
        <f ca="1">IF($B32="","",IF($C32=0,0,ROUND(($C32-(Thresholds_Rates!$C$5*12))*Thresholds_Rates!$C$10,0)))</f>
        <v/>
      </c>
      <c r="J32" s="81" t="str">
        <f ca="1">IF(B32="","",(C32*Thresholds_Rates!$C$12))</f>
        <v/>
      </c>
      <c r="K32" s="81" t="str">
        <f ca="1">IF(B32="","",IF(AND($B$2="Salary Points 3 to 57",B32&gt;Thresholds_Rates!$C$17),"-",IF(SUMIF(Grades!$A:$A,$B$2,Grades!$BR:$BR)=0,"-",IF(AND($B$2="Salary Points 3 to 57",B32&lt;=Thresholds_Rates!$C$17),$C32*Thresholds_Rates!$F$18,IF(AND(OR($B$2="New Consultant Contract"),$B32&lt;&gt;""),$C32*Thresholds_Rates!$F$18,IF(AND(OR($B$2="Clinical Lecturer / Medical Research Fellow",$B$2="Clinical Consultant - Old Contract (GP)"),$B32&lt;&gt;""),$C32*Thresholds_Rates!$F$18,IF(AND(OR($B$2="APM Level 7",$B$2="R&amp;T Level 7"),I32&lt;&gt;""),$C32*Thresholds_Rates!$F$18,IF(SUMIF(Grades!$A:$A,$B$2,Grades!$BQ:$BQ)=1,$C32*Thresholds_Rates!$F$18,""))))))))</f>
        <v/>
      </c>
      <c r="L32" s="68"/>
      <c r="M32" s="81" t="str">
        <f t="shared" ca="1" si="0"/>
        <v/>
      </c>
      <c r="N32" s="81" t="str">
        <f t="shared" ca="1" si="1"/>
        <v/>
      </c>
      <c r="O32" s="81" t="str">
        <f t="shared" ca="1" si="2"/>
        <v/>
      </c>
      <c r="P32" s="81" t="str">
        <f t="shared" ca="1" si="3"/>
        <v/>
      </c>
      <c r="Q32" s="81" t="str">
        <f t="shared" ca="1" si="4"/>
        <v/>
      </c>
      <c r="S32" s="83" t="str">
        <f ca="1">IF(B32="","",IF($B$2="R&amp;T Level 5 - Clinical Lecturers (Vet School)",SUMIF('Points Lookup'!$V:$V,$B32,'Points Lookup'!$W:$W),IF($B$2="R&amp;T Level 6 - Clinical Associate Professors and Clinical Readers (Vet School)",SUMIF('Points Lookup'!$AC:$AC,$B32,'Points Lookup'!$AD:$AD),"")))</f>
        <v/>
      </c>
      <c r="T32" s="84" t="str">
        <f ca="1">IF(B32="","",IF($B$2="R&amp;T Level 5 - Clinical Lecturers (Vet School)",$C32-SUMIF('Points Lookup'!$V:$V,$B32,'Points Lookup'!$X:$X),IF($B$2="R&amp;T Level 6 - Clinical Associate Professors and Clinical Readers (Vet School)",$C32-SUMIF('Points Lookup'!$AC:$AC,$B32,'Points Lookup'!$AE:$AE),"")))</f>
        <v/>
      </c>
      <c r="U32" s="83" t="str">
        <f ca="1">IF(B32="","",IF($B$2="R&amp;T Level 5 - Clinical Lecturers (Vet School)",SUMIF('Points Lookup'!$V:$V,$B32,'Points Lookup'!$Z:$Z),IF($B$2="R&amp;T Level 6 - Clinical Associate Professors and Clinical Readers (Vet School)",SUMIF('Points Lookup'!$AC:$AC,$B32,'Points Lookup'!$AG:$AG),"")))</f>
        <v/>
      </c>
      <c r="V32" s="84" t="str">
        <f t="shared" ca="1" si="5"/>
        <v/>
      </c>
      <c r="AA32" s="39">
        <v>26</v>
      </c>
    </row>
    <row r="33" spans="2:27" x14ac:dyDescent="0.25">
      <c r="B33" s="68" t="str">
        <f ca="1">IFERROR(INDEX('Points Lookup'!$A:$A,MATCH($AA33,'Points Lookup'!$AN:$AN,0)),"")</f>
        <v/>
      </c>
      <c r="C33" s="81" t="str">
        <f ca="1">IF(B33="","",SUMIF(INDIRECT("'Points Lookup'!"&amp;VLOOKUP($B$2,Grades!A:BU,72,FALSE)&amp;":"&amp;VLOOKUP($B$2,Grades!A:BU,72,FALSE)),B33,INDIRECT("'Points Lookup'!"&amp;VLOOKUP($B$2,Grades!A:BU,73,FALSE)&amp;":"&amp;VLOOKUP($B$2,Grades!A:BU,73,FALSE))))</f>
        <v/>
      </c>
      <c r="D33" s="82" t="str">
        <f ca="1">IF(B33="","",IF(AND(VLOOKUP($B$2,Grades!$A:$BS,71,0)="Y",B33&lt;7),VLOOKUP($B33,Thresholds_Rates!$I$15:$J$18,2,FALSE),"-"))</f>
        <v/>
      </c>
      <c r="E33" s="81"/>
      <c r="F33" s="81" t="str">
        <f ca="1">IF($B33="","",IF(SUMIF(Grades!$A:$A,$B$2,Grades!$BO:$BO)=0,"-",IF(AND(VLOOKUP($B$2,Grades!$A:$BV,74,FALSE)="YES",B33&lt;Thresholds_Rates!$C$16),"-",$C33*Thresholds_Rates!$F$15)))</f>
        <v/>
      </c>
      <c r="G33" s="81" t="str">
        <f ca="1">IF(B33="","",IF($B$2="Salary Points 3 to 57","-",IF(SUMIF(Grades!$A:$A,$B$2,Grades!$BP:$BP)=0,"-",IF(AND(OR($B$2="New Consultant Contract"),$B33&lt;&gt;""),$C33*Thresholds_Rates!$F$16,IF(AND(OR($B$2="Clinical Lecturer / Medical Research Fellow",$B$2="Clinical Consultant - Old Contract (GP)"),$B33&lt;&gt;""),$C33*Thresholds_Rates!$F$16,IF(AND(OR($B$2="APM Level 7",$B$2="R&amp;T Level 7"),F33&lt;&gt;""),$C33*Thresholds_Rates!$F$16,IF(SUMIF(Grades!$A:$A,$B$2,Grades!$BP:$BP)=1,$C33*Thresholds_Rates!$F$16,"")))))))</f>
        <v/>
      </c>
      <c r="H33" s="81" t="str">
        <f ca="1">IF($B$2="Apprenticeship","-",IF(B33="","",IF(SUMIF(Grades!$A:$A,$B$2,Grades!$BQ:$BQ)=0,"-",IF(AND($B$2="Salary Points 3 to 57",B33&gt;Thresholds_Rates!$C$17),"-",IF(AND($B$2="Salary Points 3 to 57",B33&lt;=Thresholds_Rates!$C$17),$C33*Thresholds_Rates!$F$17,IF(AND(OR($B$2="New Consultant Contract"),$B33&lt;&gt;""),$C33*Thresholds_Rates!$F$17,IF(AND(OR($B$2="Clinical Lecturer / Medical Research Fellow",$B$2="Clinical Consultant - Old Contract (GP)"),$B33&lt;&gt;""),$C33*Thresholds_Rates!$F$17,IF(AND(OR($B$2="APM Level 7",$B$2="R&amp;T Level 7"),G33&lt;&gt;""),$C33*Thresholds_Rates!$F$17,IF(SUMIF(Grades!$A:$A,$B$2,Grades!$BQ:$BQ)=1,$C33*Thresholds_Rates!$F$17,"")))))))))</f>
        <v/>
      </c>
      <c r="I33" s="81" t="str">
        <f ca="1">IF($B33="","",IF($C33=0,0,ROUND(($C33-(Thresholds_Rates!$C$5*12))*Thresholds_Rates!$C$10,0)))</f>
        <v/>
      </c>
      <c r="J33" s="81" t="str">
        <f ca="1">IF(B33="","",(C33*Thresholds_Rates!$C$12))</f>
        <v/>
      </c>
      <c r="K33" s="81" t="str">
        <f ca="1">IF(B33="","",IF(AND($B$2="Salary Points 3 to 57",B33&gt;Thresholds_Rates!$C$17),"-",IF(SUMIF(Grades!$A:$A,$B$2,Grades!$BR:$BR)=0,"-",IF(AND($B$2="Salary Points 3 to 57",B33&lt;=Thresholds_Rates!$C$17),$C33*Thresholds_Rates!$F$18,IF(AND(OR($B$2="New Consultant Contract"),$B33&lt;&gt;""),$C33*Thresholds_Rates!$F$18,IF(AND(OR($B$2="Clinical Lecturer / Medical Research Fellow",$B$2="Clinical Consultant - Old Contract (GP)"),$B33&lt;&gt;""),$C33*Thresholds_Rates!$F$18,IF(AND(OR($B$2="APM Level 7",$B$2="R&amp;T Level 7"),I33&lt;&gt;""),$C33*Thresholds_Rates!$F$18,IF(SUMIF(Grades!$A:$A,$B$2,Grades!$BQ:$BQ)=1,$C33*Thresholds_Rates!$F$18,""))))))))</f>
        <v/>
      </c>
      <c r="L33" s="68"/>
      <c r="M33" s="81" t="str">
        <f t="shared" ca="1" si="0"/>
        <v/>
      </c>
      <c r="N33" s="81" t="str">
        <f t="shared" ca="1" si="1"/>
        <v/>
      </c>
      <c r="O33" s="81" t="str">
        <f t="shared" ca="1" si="2"/>
        <v/>
      </c>
      <c r="P33" s="81" t="str">
        <f t="shared" ca="1" si="3"/>
        <v/>
      </c>
      <c r="Q33" s="81" t="str">
        <f t="shared" ca="1" si="4"/>
        <v/>
      </c>
      <c r="S33" s="83" t="str">
        <f ca="1">IF(B33="","",IF($B$2="R&amp;T Level 5 - Clinical Lecturers (Vet School)",SUMIF('Points Lookup'!$V:$V,$B33,'Points Lookup'!$W:$W),IF($B$2="R&amp;T Level 6 - Clinical Associate Professors and Clinical Readers (Vet School)",SUMIF('Points Lookup'!$AC:$AC,$B33,'Points Lookup'!$AD:$AD),"")))</f>
        <v/>
      </c>
      <c r="T33" s="84" t="str">
        <f ca="1">IF(B33="","",IF($B$2="R&amp;T Level 5 - Clinical Lecturers (Vet School)",$C33-SUMIF('Points Lookup'!$V:$V,$B33,'Points Lookup'!$X:$X),IF($B$2="R&amp;T Level 6 - Clinical Associate Professors and Clinical Readers (Vet School)",$C33-SUMIF('Points Lookup'!$AC:$AC,$B33,'Points Lookup'!$AE:$AE),"")))</f>
        <v/>
      </c>
      <c r="U33" s="83" t="str">
        <f ca="1">IF(B33="","",IF($B$2="R&amp;T Level 5 - Clinical Lecturers (Vet School)",SUMIF('Points Lookup'!$V:$V,$B33,'Points Lookup'!$Z:$Z),IF($B$2="R&amp;T Level 6 - Clinical Associate Professors and Clinical Readers (Vet School)",SUMIF('Points Lookup'!$AC:$AC,$B33,'Points Lookup'!$AG:$AG),"")))</f>
        <v/>
      </c>
      <c r="V33" s="84" t="str">
        <f t="shared" ca="1" si="5"/>
        <v/>
      </c>
      <c r="AA33" s="39">
        <v>27</v>
      </c>
    </row>
    <row r="34" spans="2:27" x14ac:dyDescent="0.25">
      <c r="B34" s="68" t="str">
        <f ca="1">IFERROR(INDEX('Points Lookup'!$A:$A,MATCH($AA34,'Points Lookup'!$AN:$AN,0)),"")</f>
        <v/>
      </c>
      <c r="C34" s="81" t="str">
        <f ca="1">IF(B34="","",SUMIF(INDIRECT("'Points Lookup'!"&amp;VLOOKUP($B$2,Grades!A:BU,72,FALSE)&amp;":"&amp;VLOOKUP($B$2,Grades!A:BU,72,FALSE)),B34,INDIRECT("'Points Lookup'!"&amp;VLOOKUP($B$2,Grades!A:BU,73,FALSE)&amp;":"&amp;VLOOKUP($B$2,Grades!A:BU,73,FALSE))))</f>
        <v/>
      </c>
      <c r="D34" s="82" t="str">
        <f ca="1">IF(B34="","",IF(AND(VLOOKUP($B$2,Grades!$A:$BS,71,0)="Y",B34&lt;7),VLOOKUP($B34,Thresholds_Rates!$I$15:$J$18,2,FALSE),"-"))</f>
        <v/>
      </c>
      <c r="E34" s="81"/>
      <c r="F34" s="81" t="str">
        <f ca="1">IF($B34="","",IF(SUMIF(Grades!$A:$A,$B$2,Grades!$BO:$BO)=0,"-",IF(AND(VLOOKUP($B$2,Grades!$A:$BV,74,FALSE)="YES",B34&lt;Thresholds_Rates!$C$16),"-",$C34*Thresholds_Rates!$F$15)))</f>
        <v/>
      </c>
      <c r="G34" s="81" t="str">
        <f ca="1">IF(B34="","",IF($B$2="Salary Points 3 to 57","-",IF(SUMIF(Grades!$A:$A,$B$2,Grades!$BP:$BP)=0,"-",IF(AND(OR($B$2="New Consultant Contract"),$B34&lt;&gt;""),$C34*Thresholds_Rates!$F$16,IF(AND(OR($B$2="Clinical Lecturer / Medical Research Fellow",$B$2="Clinical Consultant - Old Contract (GP)"),$B34&lt;&gt;""),$C34*Thresholds_Rates!$F$16,IF(AND(OR($B$2="APM Level 7",$B$2="R&amp;T Level 7"),F34&lt;&gt;""),$C34*Thresholds_Rates!$F$16,IF(SUMIF(Grades!$A:$A,$B$2,Grades!$BP:$BP)=1,$C34*Thresholds_Rates!$F$16,"")))))))</f>
        <v/>
      </c>
      <c r="H34" s="81" t="str">
        <f ca="1">IF($B$2="Apprenticeship","-",IF(B34="","",IF(SUMIF(Grades!$A:$A,$B$2,Grades!$BQ:$BQ)=0,"-",IF(AND($B$2="Salary Points 3 to 57",B34&gt;Thresholds_Rates!$C$17),"-",IF(AND($B$2="Salary Points 3 to 57",B34&lt;=Thresholds_Rates!$C$17),$C34*Thresholds_Rates!$F$17,IF(AND(OR($B$2="New Consultant Contract"),$B34&lt;&gt;""),$C34*Thresholds_Rates!$F$17,IF(AND(OR($B$2="Clinical Lecturer / Medical Research Fellow",$B$2="Clinical Consultant - Old Contract (GP)"),$B34&lt;&gt;""),$C34*Thresholds_Rates!$F$17,IF(AND(OR($B$2="APM Level 7",$B$2="R&amp;T Level 7"),G34&lt;&gt;""),$C34*Thresholds_Rates!$F$17,IF(SUMIF(Grades!$A:$A,$B$2,Grades!$BQ:$BQ)=1,$C34*Thresholds_Rates!$F$17,"")))))))))</f>
        <v/>
      </c>
      <c r="I34" s="81" t="str">
        <f ca="1">IF($B34="","",IF($C34=0,0,ROUND(($C34-(Thresholds_Rates!$C$5*12))*Thresholds_Rates!$C$10,0)))</f>
        <v/>
      </c>
      <c r="J34" s="81" t="str">
        <f ca="1">IF(B34="","",(C34*Thresholds_Rates!$C$12))</f>
        <v/>
      </c>
      <c r="K34" s="81" t="str">
        <f ca="1">IF(B34="","",IF(AND($B$2="Salary Points 3 to 57",B34&gt;Thresholds_Rates!$C$17),"-",IF(SUMIF(Grades!$A:$A,$B$2,Grades!$BR:$BR)=0,"-",IF(AND($B$2="Salary Points 3 to 57",B34&lt;=Thresholds_Rates!$C$17),$C34*Thresholds_Rates!$F$18,IF(AND(OR($B$2="New Consultant Contract"),$B34&lt;&gt;""),$C34*Thresholds_Rates!$F$18,IF(AND(OR($B$2="Clinical Lecturer / Medical Research Fellow",$B$2="Clinical Consultant - Old Contract (GP)"),$B34&lt;&gt;""),$C34*Thresholds_Rates!$F$18,IF(AND(OR($B$2="APM Level 7",$B$2="R&amp;T Level 7"),I34&lt;&gt;""),$C34*Thresholds_Rates!$F$18,IF(SUMIF(Grades!$A:$A,$B$2,Grades!$BQ:$BQ)=1,$C34*Thresholds_Rates!$F$18,""))))))))</f>
        <v/>
      </c>
      <c r="L34" s="68"/>
      <c r="M34" s="81" t="str">
        <f t="shared" ca="1" si="0"/>
        <v/>
      </c>
      <c r="N34" s="81" t="str">
        <f t="shared" ca="1" si="1"/>
        <v/>
      </c>
      <c r="O34" s="81" t="str">
        <f t="shared" ca="1" si="2"/>
        <v/>
      </c>
      <c r="P34" s="81" t="str">
        <f t="shared" ca="1" si="3"/>
        <v/>
      </c>
      <c r="Q34" s="81" t="str">
        <f t="shared" ca="1" si="4"/>
        <v/>
      </c>
      <c r="S34" s="83" t="str">
        <f ca="1">IF(B34="","",IF($B$2="R&amp;T Level 5 - Clinical Lecturers (Vet School)",SUMIF('Points Lookup'!$V:$V,$B34,'Points Lookup'!$W:$W),IF($B$2="R&amp;T Level 6 - Clinical Associate Professors and Clinical Readers (Vet School)",SUMIF('Points Lookup'!$AC:$AC,$B34,'Points Lookup'!$AD:$AD),"")))</f>
        <v/>
      </c>
      <c r="T34" s="84" t="str">
        <f ca="1">IF(B34="","",IF($B$2="R&amp;T Level 5 - Clinical Lecturers (Vet School)",$C34-SUMIF('Points Lookup'!$V:$V,$B34,'Points Lookup'!$X:$X),IF($B$2="R&amp;T Level 6 - Clinical Associate Professors and Clinical Readers (Vet School)",$C34-SUMIF('Points Lookup'!$AC:$AC,$B34,'Points Lookup'!$AE:$AE),"")))</f>
        <v/>
      </c>
      <c r="U34" s="83" t="str">
        <f ca="1">IF(B34="","",IF($B$2="R&amp;T Level 5 - Clinical Lecturers (Vet School)",SUMIF('Points Lookup'!$V:$V,$B34,'Points Lookup'!$Z:$Z),IF($B$2="R&amp;T Level 6 - Clinical Associate Professors and Clinical Readers (Vet School)",SUMIF('Points Lookup'!$AC:$AC,$B34,'Points Lookup'!$AG:$AG),"")))</f>
        <v/>
      </c>
      <c r="V34" s="84" t="str">
        <f t="shared" ca="1" si="5"/>
        <v/>
      </c>
      <c r="AA34" s="39">
        <v>28</v>
      </c>
    </row>
    <row r="35" spans="2:27" x14ac:dyDescent="0.25">
      <c r="B35" s="68" t="str">
        <f ca="1">IFERROR(INDEX('Points Lookup'!$A:$A,MATCH($AA35,'Points Lookup'!$AN:$AN,0)),"")</f>
        <v/>
      </c>
      <c r="C35" s="81" t="str">
        <f ca="1">IF(B35="","",SUMIF(INDIRECT("'Points Lookup'!"&amp;VLOOKUP($B$2,Grades!A:BU,72,FALSE)&amp;":"&amp;VLOOKUP($B$2,Grades!A:BU,72,FALSE)),B35,INDIRECT("'Points Lookup'!"&amp;VLOOKUP($B$2,Grades!A:BU,73,FALSE)&amp;":"&amp;VLOOKUP($B$2,Grades!A:BU,73,FALSE))))</f>
        <v/>
      </c>
      <c r="D35" s="82" t="str">
        <f ca="1">IF(B35="","",IF(AND(VLOOKUP($B$2,Grades!$A:$BS,71,0)="Y",B35&lt;7),VLOOKUP($B35,Thresholds_Rates!$I$15:$J$18,2,FALSE),"-"))</f>
        <v/>
      </c>
      <c r="E35" s="81"/>
      <c r="F35" s="81" t="str">
        <f ca="1">IF($B35="","",IF(SUMIF(Grades!$A:$A,$B$2,Grades!$BO:$BO)=0,"-",IF(AND(VLOOKUP($B$2,Grades!$A:$BV,74,FALSE)="YES",B35&lt;Thresholds_Rates!$C$16),"-",$C35*Thresholds_Rates!$F$15)))</f>
        <v/>
      </c>
      <c r="G35" s="81" t="str">
        <f ca="1">IF(B35="","",IF($B$2="Salary Points 3 to 57","-",IF(SUMIF(Grades!$A:$A,$B$2,Grades!$BP:$BP)=0,"-",IF(AND(OR($B$2="New Consultant Contract"),$B35&lt;&gt;""),$C35*Thresholds_Rates!$F$16,IF(AND(OR($B$2="Clinical Lecturer / Medical Research Fellow",$B$2="Clinical Consultant - Old Contract (GP)"),$B35&lt;&gt;""),$C35*Thresholds_Rates!$F$16,IF(AND(OR($B$2="APM Level 7",$B$2="R&amp;T Level 7"),F35&lt;&gt;""),$C35*Thresholds_Rates!$F$16,IF(SUMIF(Grades!$A:$A,$B$2,Grades!$BP:$BP)=1,$C35*Thresholds_Rates!$F$16,"")))))))</f>
        <v/>
      </c>
      <c r="H35" s="81" t="str">
        <f ca="1">IF($B$2="Apprenticeship","-",IF(B35="","",IF(SUMIF(Grades!$A:$A,$B$2,Grades!$BQ:$BQ)=0,"-",IF(AND($B$2="Salary Points 3 to 57",B35&gt;Thresholds_Rates!$C$17),"-",IF(AND($B$2="Salary Points 3 to 57",B35&lt;=Thresholds_Rates!$C$17),$C35*Thresholds_Rates!$F$17,IF(AND(OR($B$2="New Consultant Contract"),$B35&lt;&gt;""),$C35*Thresholds_Rates!$F$17,IF(AND(OR($B$2="Clinical Lecturer / Medical Research Fellow",$B$2="Clinical Consultant - Old Contract (GP)"),$B35&lt;&gt;""),$C35*Thresholds_Rates!$F$17,IF(AND(OR($B$2="APM Level 7",$B$2="R&amp;T Level 7"),G35&lt;&gt;""),$C35*Thresholds_Rates!$F$17,IF(SUMIF(Grades!$A:$A,$B$2,Grades!$BQ:$BQ)=1,$C35*Thresholds_Rates!$F$17,"")))))))))</f>
        <v/>
      </c>
      <c r="I35" s="81" t="str">
        <f ca="1">IF($B35="","",IF($C35=0,0,ROUND(($C35-(Thresholds_Rates!$C$5*12))*Thresholds_Rates!$C$10,0)))</f>
        <v/>
      </c>
      <c r="J35" s="81" t="str">
        <f ca="1">IF(B35="","",(C35*Thresholds_Rates!$C$12))</f>
        <v/>
      </c>
      <c r="K35" s="81" t="str">
        <f ca="1">IF(B35="","",IF(AND($B$2="Salary Points 3 to 57",B35&gt;Thresholds_Rates!$C$17),"-",IF(SUMIF(Grades!$A:$A,$B$2,Grades!$BR:$BR)=0,"-",IF(AND($B$2="Salary Points 3 to 57",B35&lt;=Thresholds_Rates!$C$17),$C35*Thresholds_Rates!$F$18,IF(AND(OR($B$2="New Consultant Contract"),$B35&lt;&gt;""),$C35*Thresholds_Rates!$F$18,IF(AND(OR($B$2="Clinical Lecturer / Medical Research Fellow",$B$2="Clinical Consultant - Old Contract (GP)"),$B35&lt;&gt;""),$C35*Thresholds_Rates!$F$18,IF(AND(OR($B$2="APM Level 7",$B$2="R&amp;T Level 7"),I35&lt;&gt;""),$C35*Thresholds_Rates!$F$18,IF(SUMIF(Grades!$A:$A,$B$2,Grades!$BQ:$BQ)=1,$C35*Thresholds_Rates!$F$18,""))))))))</f>
        <v/>
      </c>
      <c r="L35" s="68"/>
      <c r="M35" s="81" t="str">
        <f t="shared" ca="1" si="0"/>
        <v/>
      </c>
      <c r="N35" s="81" t="str">
        <f t="shared" ca="1" si="1"/>
        <v/>
      </c>
      <c r="O35" s="81" t="str">
        <f t="shared" ca="1" si="2"/>
        <v/>
      </c>
      <c r="P35" s="81" t="str">
        <f t="shared" ca="1" si="3"/>
        <v/>
      </c>
      <c r="Q35" s="81" t="str">
        <f t="shared" ca="1" si="4"/>
        <v/>
      </c>
      <c r="S35" s="83" t="str">
        <f ca="1">IF(B35="","",IF($B$2="R&amp;T Level 5 - Clinical Lecturers (Vet School)",SUMIF('Points Lookup'!$V:$V,$B35,'Points Lookup'!$W:$W),IF($B$2="R&amp;T Level 6 - Clinical Associate Professors and Clinical Readers (Vet School)",SUMIF('Points Lookup'!$AC:$AC,$B35,'Points Lookup'!$AD:$AD),"")))</f>
        <v/>
      </c>
      <c r="T35" s="84" t="str">
        <f ca="1">IF(B35="","",IF($B$2="R&amp;T Level 5 - Clinical Lecturers (Vet School)",$C35-SUMIF('Points Lookup'!$V:$V,$B35,'Points Lookup'!$X:$X),IF($B$2="R&amp;T Level 6 - Clinical Associate Professors and Clinical Readers (Vet School)",$C35-SUMIF('Points Lookup'!$AC:$AC,$B35,'Points Lookup'!$AE:$AE),"")))</f>
        <v/>
      </c>
      <c r="U35" s="83" t="str">
        <f ca="1">IF(B35="","",IF($B$2="R&amp;T Level 5 - Clinical Lecturers (Vet School)",SUMIF('Points Lookup'!$V:$V,$B35,'Points Lookup'!$Z:$Z),IF($B$2="R&amp;T Level 6 - Clinical Associate Professors and Clinical Readers (Vet School)",SUMIF('Points Lookup'!$AC:$AC,$B35,'Points Lookup'!$AG:$AG),"")))</f>
        <v/>
      </c>
      <c r="V35" s="84" t="str">
        <f t="shared" ca="1" si="5"/>
        <v/>
      </c>
      <c r="AA35" s="39">
        <v>29</v>
      </c>
    </row>
    <row r="36" spans="2:27" x14ac:dyDescent="0.25">
      <c r="B36" s="68" t="str">
        <f ca="1">IFERROR(INDEX('Points Lookup'!$A:$A,MATCH($AA36,'Points Lookup'!$AN:$AN,0)),"")</f>
        <v/>
      </c>
      <c r="C36" s="81" t="str">
        <f ca="1">IF(B36="","",SUMIF(INDIRECT("'Points Lookup'!"&amp;VLOOKUP($B$2,Grades!A:BU,72,FALSE)&amp;":"&amp;VLOOKUP($B$2,Grades!A:BU,72,FALSE)),B36,INDIRECT("'Points Lookup'!"&amp;VLOOKUP($B$2,Grades!A:BU,73,FALSE)&amp;":"&amp;VLOOKUP($B$2,Grades!A:BU,73,FALSE))))</f>
        <v/>
      </c>
      <c r="D36" s="82" t="str">
        <f ca="1">IF(B36="","",IF(AND(VLOOKUP($B$2,Grades!$A:$BS,71,0)="Y",B36&lt;7),VLOOKUP($B36,Thresholds_Rates!$I$15:$J$18,2,FALSE),"-"))</f>
        <v/>
      </c>
      <c r="E36" s="81"/>
      <c r="F36" s="81" t="str">
        <f ca="1">IF($B36="","",IF(SUMIF(Grades!$A:$A,$B$2,Grades!$BO:$BO)=0,"-",IF(AND(VLOOKUP($B$2,Grades!$A:$BV,74,FALSE)="YES",B36&lt;Thresholds_Rates!$C$16),"-",$C36*Thresholds_Rates!$F$15)))</f>
        <v/>
      </c>
      <c r="G36" s="81" t="str">
        <f ca="1">IF(B36="","",IF($B$2="Salary Points 3 to 57","-",IF(SUMIF(Grades!$A:$A,$B$2,Grades!$BP:$BP)=0,"-",IF(AND(OR($B$2="New Consultant Contract"),$B36&lt;&gt;""),$C36*Thresholds_Rates!$F$16,IF(AND(OR($B$2="Clinical Lecturer / Medical Research Fellow",$B$2="Clinical Consultant - Old Contract (GP)"),$B36&lt;&gt;""),$C36*Thresholds_Rates!$F$16,IF(AND(OR($B$2="APM Level 7",$B$2="R&amp;T Level 7"),F36&lt;&gt;""),$C36*Thresholds_Rates!$F$16,IF(SUMIF(Grades!$A:$A,$B$2,Grades!$BP:$BP)=1,$C36*Thresholds_Rates!$F$16,"")))))))</f>
        <v/>
      </c>
      <c r="H36" s="81" t="str">
        <f ca="1">IF($B$2="Apprenticeship","-",IF(B36="","",IF(SUMIF(Grades!$A:$A,$B$2,Grades!$BQ:$BQ)=0,"-",IF(AND($B$2="Salary Points 3 to 57",B36&gt;Thresholds_Rates!$C$17),"-",IF(AND($B$2="Salary Points 3 to 57",B36&lt;=Thresholds_Rates!$C$17),$C36*Thresholds_Rates!$F$17,IF(AND(OR($B$2="New Consultant Contract"),$B36&lt;&gt;""),$C36*Thresholds_Rates!$F$17,IF(AND(OR($B$2="Clinical Lecturer / Medical Research Fellow",$B$2="Clinical Consultant - Old Contract (GP)"),$B36&lt;&gt;""),$C36*Thresholds_Rates!$F$17,IF(AND(OR($B$2="APM Level 7",$B$2="R&amp;T Level 7"),G36&lt;&gt;""),$C36*Thresholds_Rates!$F$17,IF(SUMIF(Grades!$A:$A,$B$2,Grades!$BQ:$BQ)=1,$C36*Thresholds_Rates!$F$17,"")))))))))</f>
        <v/>
      </c>
      <c r="I36" s="81" t="str">
        <f ca="1">IF($B36="","",IF($C36=0,0,ROUND(($C36-(Thresholds_Rates!$C$5*12))*Thresholds_Rates!$C$10,0)))</f>
        <v/>
      </c>
      <c r="J36" s="81" t="str">
        <f ca="1">IF(B36="","",(C36*Thresholds_Rates!$C$12))</f>
        <v/>
      </c>
      <c r="K36" s="81" t="str">
        <f ca="1">IF(B36="","",IF(AND($B$2="Salary Points 3 to 57",B36&gt;Thresholds_Rates!$C$17),"-",IF(SUMIF(Grades!$A:$A,$B$2,Grades!$BR:$BR)=0,"-",IF(AND($B$2="Salary Points 3 to 57",B36&lt;=Thresholds_Rates!$C$17),$C36*Thresholds_Rates!$F$18,IF(AND(OR($B$2="New Consultant Contract"),$B36&lt;&gt;""),$C36*Thresholds_Rates!$F$18,IF(AND(OR($B$2="Clinical Lecturer / Medical Research Fellow",$B$2="Clinical Consultant - Old Contract (GP)"),$B36&lt;&gt;""),$C36*Thresholds_Rates!$F$18,IF(AND(OR($B$2="APM Level 7",$B$2="R&amp;T Level 7"),I36&lt;&gt;""),$C36*Thresholds_Rates!$F$18,IF(SUMIF(Grades!$A:$A,$B$2,Grades!$BQ:$BQ)=1,$C36*Thresholds_Rates!$F$18,""))))))))</f>
        <v/>
      </c>
      <c r="L36" s="68"/>
      <c r="M36" s="81" t="str">
        <f t="shared" ca="1" si="0"/>
        <v/>
      </c>
      <c r="N36" s="81" t="str">
        <f t="shared" ca="1" si="1"/>
        <v/>
      </c>
      <c r="O36" s="81" t="str">
        <f t="shared" ca="1" si="2"/>
        <v/>
      </c>
      <c r="P36" s="81" t="str">
        <f t="shared" ca="1" si="3"/>
        <v/>
      </c>
      <c r="Q36" s="81" t="str">
        <f t="shared" ca="1" si="4"/>
        <v/>
      </c>
      <c r="S36" s="83" t="str">
        <f ca="1">IF(B36="","",IF($B$2="R&amp;T Level 5 - Clinical Lecturers (Vet School)",SUMIF('Points Lookup'!$V:$V,$B36,'Points Lookup'!$W:$W),IF($B$2="R&amp;T Level 6 - Clinical Associate Professors and Clinical Readers (Vet School)",SUMIF('Points Lookup'!$AC:$AC,$B36,'Points Lookup'!$AD:$AD),"")))</f>
        <v/>
      </c>
      <c r="T36" s="84" t="str">
        <f ca="1">IF(B36="","",IF($B$2="R&amp;T Level 5 - Clinical Lecturers (Vet School)",$C36-SUMIF('Points Lookup'!$V:$V,$B36,'Points Lookup'!$X:$X),IF($B$2="R&amp;T Level 6 - Clinical Associate Professors and Clinical Readers (Vet School)",$C36-SUMIF('Points Lookup'!$AC:$AC,$B36,'Points Lookup'!$AE:$AE),"")))</f>
        <v/>
      </c>
      <c r="U36" s="83" t="str">
        <f ca="1">IF(B36="","",IF($B$2="R&amp;T Level 5 - Clinical Lecturers (Vet School)",SUMIF('Points Lookup'!$V:$V,$B36,'Points Lookup'!$Z:$Z),IF($B$2="R&amp;T Level 6 - Clinical Associate Professors and Clinical Readers (Vet School)",SUMIF('Points Lookup'!$AC:$AC,$B36,'Points Lookup'!$AG:$AG),"")))</f>
        <v/>
      </c>
      <c r="V36" s="84" t="str">
        <f t="shared" ca="1" si="5"/>
        <v/>
      </c>
      <c r="AA36" s="39">
        <v>30</v>
      </c>
    </row>
    <row r="37" spans="2:27" x14ac:dyDescent="0.25">
      <c r="B37" s="68" t="str">
        <f ca="1">IFERROR(INDEX('Points Lookup'!$A:$A,MATCH($AA37,'Points Lookup'!$AN:$AN,0)),"")</f>
        <v/>
      </c>
      <c r="C37" s="81" t="str">
        <f ca="1">IF(B37="","",SUMIF(INDIRECT("'Points Lookup'!"&amp;VLOOKUP($B$2,Grades!A:BU,72,FALSE)&amp;":"&amp;VLOOKUP($B$2,Grades!A:BU,72,FALSE)),B37,INDIRECT("'Points Lookup'!"&amp;VLOOKUP($B$2,Grades!A:BU,73,FALSE)&amp;":"&amp;VLOOKUP($B$2,Grades!A:BU,73,FALSE))))</f>
        <v/>
      </c>
      <c r="D37" s="82" t="str">
        <f ca="1">IF(B37="","",IF(AND(VLOOKUP($B$2,Grades!$A:$BS,71,0)="Y",B37&lt;7),VLOOKUP($B37,Thresholds_Rates!$I$15:$J$18,2,FALSE),"-"))</f>
        <v/>
      </c>
      <c r="E37" s="81"/>
      <c r="F37" s="81" t="str">
        <f ca="1">IF($B37="","",IF(SUMIF(Grades!$A:$A,$B$2,Grades!$BO:$BO)=0,"-",IF(AND(VLOOKUP($B$2,Grades!$A:$BV,74,FALSE)="YES",B37&lt;Thresholds_Rates!$C$16),"-",$C37*Thresholds_Rates!$F$15)))</f>
        <v/>
      </c>
      <c r="G37" s="81" t="str">
        <f ca="1">IF(B37="","",IF($B$2="Salary Points 3 to 57","-",IF(SUMIF(Grades!$A:$A,$B$2,Grades!$BP:$BP)=0,"-",IF(AND(OR($B$2="New Consultant Contract"),$B37&lt;&gt;""),$C37*Thresholds_Rates!$F$16,IF(AND(OR($B$2="Clinical Lecturer / Medical Research Fellow",$B$2="Clinical Consultant - Old Contract (GP)"),$B37&lt;&gt;""),$C37*Thresholds_Rates!$F$16,IF(AND(OR($B$2="APM Level 7",$B$2="R&amp;T Level 7"),F37&lt;&gt;""),$C37*Thresholds_Rates!$F$16,IF(SUMIF(Grades!$A:$A,$B$2,Grades!$BP:$BP)=1,$C37*Thresholds_Rates!$F$16,"")))))))</f>
        <v/>
      </c>
      <c r="H37" s="81" t="str">
        <f ca="1">IF($B$2="Apprenticeship","-",IF(B37="","",IF(SUMIF(Grades!$A:$A,$B$2,Grades!$BQ:$BQ)=0,"-",IF(AND($B$2="Salary Points 3 to 57",B37&gt;Thresholds_Rates!$C$17),"-",IF(AND($B$2="Salary Points 3 to 57",B37&lt;=Thresholds_Rates!$C$17),$C37*Thresholds_Rates!$F$17,IF(AND(OR($B$2="New Consultant Contract"),$B37&lt;&gt;""),$C37*Thresholds_Rates!$F$17,IF(AND(OR($B$2="Clinical Lecturer / Medical Research Fellow",$B$2="Clinical Consultant - Old Contract (GP)"),$B37&lt;&gt;""),$C37*Thresholds_Rates!$F$17,IF(AND(OR($B$2="APM Level 7",$B$2="R&amp;T Level 7"),G37&lt;&gt;""),$C37*Thresholds_Rates!$F$17,IF(SUMIF(Grades!$A:$A,$B$2,Grades!$BQ:$BQ)=1,$C37*Thresholds_Rates!$F$17,"")))))))))</f>
        <v/>
      </c>
      <c r="I37" s="81" t="str">
        <f ca="1">IF($B37="","",IF($C37=0,0,ROUND(($C37-(Thresholds_Rates!$C$5*12))*Thresholds_Rates!$C$10,0)))</f>
        <v/>
      </c>
      <c r="J37" s="81" t="str">
        <f ca="1">IF(B37="","",(C37*Thresholds_Rates!$C$12))</f>
        <v/>
      </c>
      <c r="K37" s="81" t="str">
        <f ca="1">IF(B37="","",IF(AND($B$2="Salary Points 3 to 57",B37&gt;Thresholds_Rates!$C$17),"-",IF(SUMIF(Grades!$A:$A,$B$2,Grades!$BR:$BR)=0,"-",IF(AND($B$2="Salary Points 3 to 57",B37&lt;=Thresholds_Rates!$C$17),$C37*Thresholds_Rates!$F$18,IF(AND(OR($B$2="New Consultant Contract"),$B37&lt;&gt;""),$C37*Thresholds_Rates!$F$18,IF(AND(OR($B$2="Clinical Lecturer / Medical Research Fellow",$B$2="Clinical Consultant - Old Contract (GP)"),$B37&lt;&gt;""),$C37*Thresholds_Rates!$F$18,IF(AND(OR($B$2="APM Level 7",$B$2="R&amp;T Level 7"),I37&lt;&gt;""),$C37*Thresholds_Rates!$F$18,IF(SUMIF(Grades!$A:$A,$B$2,Grades!$BQ:$BQ)=1,$C37*Thresholds_Rates!$F$18,""))))))))</f>
        <v/>
      </c>
      <c r="L37" s="68"/>
      <c r="M37" s="81" t="str">
        <f t="shared" ca="1" si="0"/>
        <v/>
      </c>
      <c r="N37" s="81" t="str">
        <f t="shared" ca="1" si="1"/>
        <v/>
      </c>
      <c r="O37" s="81" t="str">
        <f t="shared" ca="1" si="2"/>
        <v/>
      </c>
      <c r="P37" s="81" t="str">
        <f t="shared" ca="1" si="3"/>
        <v/>
      </c>
      <c r="Q37" s="81" t="str">
        <f t="shared" ca="1" si="4"/>
        <v/>
      </c>
      <c r="S37" s="83" t="str">
        <f ca="1">IF(B37="","",IF($B$2="R&amp;T Level 5 - Clinical Lecturers (Vet School)",SUMIF('Points Lookup'!$V:$V,$B37,'Points Lookup'!$W:$W),IF($B$2="R&amp;T Level 6 - Clinical Associate Professors and Clinical Readers (Vet School)",SUMIF('Points Lookup'!$AC:$AC,$B37,'Points Lookup'!$AD:$AD),"")))</f>
        <v/>
      </c>
      <c r="T37" s="84" t="str">
        <f ca="1">IF(B37="","",IF($B$2="R&amp;T Level 5 - Clinical Lecturers (Vet School)",$C37-SUMIF('Points Lookup'!$V:$V,$B37,'Points Lookup'!$X:$X),IF($B$2="R&amp;T Level 6 - Clinical Associate Professors and Clinical Readers (Vet School)",$C37-SUMIF('Points Lookup'!$AC:$AC,$B37,'Points Lookup'!$AE:$AE),"")))</f>
        <v/>
      </c>
      <c r="U37" s="83" t="str">
        <f ca="1">IF(B37="","",IF($B$2="R&amp;T Level 5 - Clinical Lecturers (Vet School)",SUMIF('Points Lookup'!$V:$V,$B37,'Points Lookup'!$Z:$Z),IF($B$2="R&amp;T Level 6 - Clinical Associate Professors and Clinical Readers (Vet School)",SUMIF('Points Lookup'!$AC:$AC,$B37,'Points Lookup'!$AG:$AG),"")))</f>
        <v/>
      </c>
      <c r="V37" s="84" t="str">
        <f t="shared" ca="1" si="5"/>
        <v/>
      </c>
      <c r="AA37" s="39">
        <v>31</v>
      </c>
    </row>
    <row r="38" spans="2:27" x14ac:dyDescent="0.25">
      <c r="B38" s="68" t="str">
        <f ca="1">IFERROR(INDEX('Points Lookup'!$A:$A,MATCH($AA38,'Points Lookup'!$AN:$AN,0)),"")</f>
        <v/>
      </c>
      <c r="C38" s="81" t="str">
        <f ca="1">IF(B38="","",SUMIF(INDIRECT("'Points Lookup'!"&amp;VLOOKUP($B$2,Grades!A:BU,72,FALSE)&amp;":"&amp;VLOOKUP($B$2,Grades!A:BU,72,FALSE)),B38,INDIRECT("'Points Lookup'!"&amp;VLOOKUP($B$2,Grades!A:BU,73,FALSE)&amp;":"&amp;VLOOKUP($B$2,Grades!A:BU,73,FALSE))))</f>
        <v/>
      </c>
      <c r="D38" s="82" t="str">
        <f ca="1">IF(B38="","",IF(AND(VLOOKUP($B$2,Grades!$A:$BS,71,0)="Y",B38&lt;7),VLOOKUP($B38,Thresholds_Rates!$I$15:$J$18,2,FALSE),"-"))</f>
        <v/>
      </c>
      <c r="E38" s="81"/>
      <c r="F38" s="81" t="str">
        <f ca="1">IF($B38="","",IF(SUMIF(Grades!$A:$A,$B$2,Grades!$BO:$BO)=0,"-",IF(AND(VLOOKUP($B$2,Grades!$A:$BV,74,FALSE)="YES",B38&lt;Thresholds_Rates!$C$16),"-",$C38*Thresholds_Rates!$F$15)))</f>
        <v/>
      </c>
      <c r="G38" s="81" t="str">
        <f ca="1">IF(B38="","",IF($B$2="Salary Points 3 to 57","-",IF(SUMIF(Grades!$A:$A,$B$2,Grades!$BP:$BP)=0,"-",IF(AND(OR($B$2="New Consultant Contract"),$B38&lt;&gt;""),$C38*Thresholds_Rates!$F$16,IF(AND(OR($B$2="Clinical Lecturer / Medical Research Fellow",$B$2="Clinical Consultant - Old Contract (GP)"),$B38&lt;&gt;""),$C38*Thresholds_Rates!$F$16,IF(AND(OR($B$2="APM Level 7",$B$2="R&amp;T Level 7"),F38&lt;&gt;""),$C38*Thresholds_Rates!$F$16,IF(SUMIF(Grades!$A:$A,$B$2,Grades!$BP:$BP)=1,$C38*Thresholds_Rates!$F$16,"")))))))</f>
        <v/>
      </c>
      <c r="H38" s="81" t="str">
        <f ca="1">IF($B$2="Apprenticeship","-",IF(B38="","",IF(SUMIF(Grades!$A:$A,$B$2,Grades!$BQ:$BQ)=0,"-",IF(AND($B$2="Salary Points 3 to 57",B38&gt;Thresholds_Rates!$C$17),"-",IF(AND($B$2="Salary Points 3 to 57",B38&lt;=Thresholds_Rates!$C$17),$C38*Thresholds_Rates!$F$17,IF(AND(OR($B$2="New Consultant Contract"),$B38&lt;&gt;""),$C38*Thresholds_Rates!$F$17,IF(AND(OR($B$2="Clinical Lecturer / Medical Research Fellow",$B$2="Clinical Consultant - Old Contract (GP)"),$B38&lt;&gt;""),$C38*Thresholds_Rates!$F$17,IF(AND(OR($B$2="APM Level 7",$B$2="R&amp;T Level 7"),G38&lt;&gt;""),$C38*Thresholds_Rates!$F$17,IF(SUMIF(Grades!$A:$A,$B$2,Grades!$BQ:$BQ)=1,$C38*Thresholds_Rates!$F$17,"")))))))))</f>
        <v/>
      </c>
      <c r="I38" s="81" t="str">
        <f ca="1">IF($B38="","",IF($C38=0,0,ROUND(($C38-(Thresholds_Rates!$C$5*12))*Thresholds_Rates!$C$10,0)))</f>
        <v/>
      </c>
      <c r="J38" s="81" t="str">
        <f ca="1">IF(B38="","",(C38*Thresholds_Rates!$C$12))</f>
        <v/>
      </c>
      <c r="K38" s="81" t="str">
        <f ca="1">IF(B38="","",IF(AND($B$2="Salary Points 3 to 57",B38&gt;Thresholds_Rates!$C$17),"-",IF(SUMIF(Grades!$A:$A,$B$2,Grades!$BR:$BR)=0,"-",IF(AND($B$2="Salary Points 3 to 57",B38&lt;=Thresholds_Rates!$C$17),$C38*Thresholds_Rates!$F$18,IF(AND(OR($B$2="New Consultant Contract"),$B38&lt;&gt;""),$C38*Thresholds_Rates!$F$18,IF(AND(OR($B$2="Clinical Lecturer / Medical Research Fellow",$B$2="Clinical Consultant - Old Contract (GP)"),$B38&lt;&gt;""),$C38*Thresholds_Rates!$F$18,IF(AND(OR($B$2="APM Level 7",$B$2="R&amp;T Level 7"),I38&lt;&gt;""),$C38*Thresholds_Rates!$F$18,IF(SUMIF(Grades!$A:$A,$B$2,Grades!$BQ:$BQ)=1,$C38*Thresholds_Rates!$F$18,""))))))))</f>
        <v/>
      </c>
      <c r="L38" s="68"/>
      <c r="M38" s="81" t="str">
        <f t="shared" ca="1" si="0"/>
        <v/>
      </c>
      <c r="N38" s="81" t="str">
        <f t="shared" ca="1" si="1"/>
        <v/>
      </c>
      <c r="O38" s="81" t="str">
        <f t="shared" ca="1" si="2"/>
        <v/>
      </c>
      <c r="P38" s="81" t="str">
        <f t="shared" ca="1" si="3"/>
        <v/>
      </c>
      <c r="Q38" s="81" t="str">
        <f t="shared" ca="1" si="4"/>
        <v/>
      </c>
      <c r="S38" s="83" t="str">
        <f ca="1">IF(B38="","",IF($B$2="R&amp;T Level 5 - Clinical Lecturers (Vet School)",SUMIF('Points Lookup'!$V:$V,$B38,'Points Lookup'!$W:$W),IF($B$2="R&amp;T Level 6 - Clinical Associate Professors and Clinical Readers (Vet School)",SUMIF('Points Lookup'!$AC:$AC,$B38,'Points Lookup'!$AD:$AD),"")))</f>
        <v/>
      </c>
      <c r="T38" s="84" t="str">
        <f ca="1">IF(B38="","",IF($B$2="R&amp;T Level 5 - Clinical Lecturers (Vet School)",$C38-SUMIF('Points Lookup'!$V:$V,$B38,'Points Lookup'!$X:$X),IF($B$2="R&amp;T Level 6 - Clinical Associate Professors and Clinical Readers (Vet School)",$C38-SUMIF('Points Lookup'!$AC:$AC,$B38,'Points Lookup'!$AE:$AE),"")))</f>
        <v/>
      </c>
      <c r="U38" s="83" t="str">
        <f ca="1">IF(B38="","",IF($B$2="R&amp;T Level 5 - Clinical Lecturers (Vet School)",SUMIF('Points Lookup'!$V:$V,$B38,'Points Lookup'!$Z:$Z),IF($B$2="R&amp;T Level 6 - Clinical Associate Professors and Clinical Readers (Vet School)",SUMIF('Points Lookup'!$AC:$AC,$B38,'Points Lookup'!$AG:$AG),"")))</f>
        <v/>
      </c>
      <c r="V38" s="84" t="str">
        <f t="shared" ca="1" si="5"/>
        <v/>
      </c>
      <c r="AA38" s="39">
        <v>32</v>
      </c>
    </row>
    <row r="39" spans="2:27" x14ac:dyDescent="0.25">
      <c r="B39" s="68" t="str">
        <f ca="1">IFERROR(INDEX('Points Lookup'!$A:$A,MATCH($AA39,'Points Lookup'!$AN:$AN,0)),"")</f>
        <v/>
      </c>
      <c r="C39" s="81" t="str">
        <f ca="1">IF(B39="","",SUMIF(INDIRECT("'Points Lookup'!"&amp;VLOOKUP($B$2,Grades!A:BU,72,FALSE)&amp;":"&amp;VLOOKUP($B$2,Grades!A:BU,72,FALSE)),B39,INDIRECT("'Points Lookup'!"&amp;VLOOKUP($B$2,Grades!A:BU,73,FALSE)&amp;":"&amp;VLOOKUP($B$2,Grades!A:BU,73,FALSE))))</f>
        <v/>
      </c>
      <c r="D39" s="82" t="str">
        <f ca="1">IF(B39="","",IF(AND(VLOOKUP($B$2,Grades!$A:$BS,71,0)="Y",B39&lt;7),VLOOKUP($B39,Thresholds_Rates!$I$15:$J$18,2,FALSE),"-"))</f>
        <v/>
      </c>
      <c r="E39" s="81"/>
      <c r="F39" s="81" t="str">
        <f ca="1">IF($B39="","",IF(SUMIF(Grades!$A:$A,$B$2,Grades!$BO:$BO)=0,"-",IF(AND(VLOOKUP($B$2,Grades!$A:$BV,74,FALSE)="YES",B39&lt;Thresholds_Rates!$C$16),"-",$C39*Thresholds_Rates!$F$15)))</f>
        <v/>
      </c>
      <c r="G39" s="81" t="str">
        <f ca="1">IF(B39="","",IF($B$2="Salary Points 3 to 57","-",IF(SUMIF(Grades!$A:$A,$B$2,Grades!$BP:$BP)=0,"-",IF(AND(OR($B$2="New Consultant Contract"),$B39&lt;&gt;""),$C39*Thresholds_Rates!$F$16,IF(AND(OR($B$2="Clinical Lecturer / Medical Research Fellow",$B$2="Clinical Consultant - Old Contract (GP)"),$B39&lt;&gt;""),$C39*Thresholds_Rates!$F$16,IF(AND(OR($B$2="APM Level 7",$B$2="R&amp;T Level 7"),F39&lt;&gt;""),$C39*Thresholds_Rates!$F$16,IF(SUMIF(Grades!$A:$A,$B$2,Grades!$BP:$BP)=1,$C39*Thresholds_Rates!$F$16,"")))))))</f>
        <v/>
      </c>
      <c r="H39" s="81" t="str">
        <f ca="1">IF($B$2="Apprenticeship","-",IF(B39="","",IF(SUMIF(Grades!$A:$A,$B$2,Grades!$BQ:$BQ)=0,"-",IF(AND($B$2="Salary Points 3 to 57",B39&gt;Thresholds_Rates!$C$17),"-",IF(AND($B$2="Salary Points 3 to 57",B39&lt;=Thresholds_Rates!$C$17),$C39*Thresholds_Rates!$F$17,IF(AND(OR($B$2="New Consultant Contract"),$B39&lt;&gt;""),$C39*Thresholds_Rates!$F$17,IF(AND(OR($B$2="Clinical Lecturer / Medical Research Fellow",$B$2="Clinical Consultant - Old Contract (GP)"),$B39&lt;&gt;""),$C39*Thresholds_Rates!$F$17,IF(AND(OR($B$2="APM Level 7",$B$2="R&amp;T Level 7"),G39&lt;&gt;""),$C39*Thresholds_Rates!$F$17,IF(SUMIF(Grades!$A:$A,$B$2,Grades!$BQ:$BQ)=1,$C39*Thresholds_Rates!$F$17,"")))))))))</f>
        <v/>
      </c>
      <c r="I39" s="81" t="str">
        <f ca="1">IF($B39="","",IF($C39=0,0,ROUND(($C39-(Thresholds_Rates!$C$5*12))*Thresholds_Rates!$C$10,0)))</f>
        <v/>
      </c>
      <c r="J39" s="81" t="str">
        <f ca="1">IF(B39="","",(C39*Thresholds_Rates!$C$12))</f>
        <v/>
      </c>
      <c r="K39" s="81" t="str">
        <f ca="1">IF(B39="","",IF(AND($B$2="Salary Points 3 to 57",B39&gt;Thresholds_Rates!$C$17),"-",IF(SUMIF(Grades!$A:$A,$B$2,Grades!$BR:$BR)=0,"-",IF(AND($B$2="Salary Points 3 to 57",B39&lt;=Thresholds_Rates!$C$17),$C39*Thresholds_Rates!$F$18,IF(AND(OR($B$2="New Consultant Contract"),$B39&lt;&gt;""),$C39*Thresholds_Rates!$F$18,IF(AND(OR($B$2="Clinical Lecturer / Medical Research Fellow",$B$2="Clinical Consultant - Old Contract (GP)"),$B39&lt;&gt;""),$C39*Thresholds_Rates!$F$18,IF(AND(OR($B$2="APM Level 7",$B$2="R&amp;T Level 7"),I39&lt;&gt;""),$C39*Thresholds_Rates!$F$18,IF(SUMIF(Grades!$A:$A,$B$2,Grades!$BQ:$BQ)=1,$C39*Thresholds_Rates!$F$18,""))))))))</f>
        <v/>
      </c>
      <c r="L39" s="68"/>
      <c r="M39" s="81" t="str">
        <f t="shared" ca="1" si="0"/>
        <v/>
      </c>
      <c r="N39" s="81" t="str">
        <f t="shared" ca="1" si="1"/>
        <v/>
      </c>
      <c r="O39" s="81" t="str">
        <f t="shared" ca="1" si="2"/>
        <v/>
      </c>
      <c r="P39" s="81" t="str">
        <f t="shared" ca="1" si="3"/>
        <v/>
      </c>
      <c r="Q39" s="81" t="str">
        <f t="shared" ca="1" si="4"/>
        <v/>
      </c>
      <c r="S39" s="83" t="str">
        <f ca="1">IF(B39="","",IF($B$2="R&amp;T Level 5 - Clinical Lecturers (Vet School)",SUMIF('Points Lookup'!$V:$V,$B39,'Points Lookup'!$W:$W),IF($B$2="R&amp;T Level 6 - Clinical Associate Professors and Clinical Readers (Vet School)",SUMIF('Points Lookup'!$AC:$AC,$B39,'Points Lookup'!$AD:$AD),"")))</f>
        <v/>
      </c>
      <c r="T39" s="84" t="str">
        <f ca="1">IF(B39="","",IF($B$2="R&amp;T Level 5 - Clinical Lecturers (Vet School)",$C39-SUMIF('Points Lookup'!$V:$V,$B39,'Points Lookup'!$X:$X),IF($B$2="R&amp;T Level 6 - Clinical Associate Professors and Clinical Readers (Vet School)",$C39-SUMIF('Points Lookup'!$AC:$AC,$B39,'Points Lookup'!$AE:$AE),"")))</f>
        <v/>
      </c>
      <c r="U39" s="83" t="str">
        <f ca="1">IF(B39="","",IF($B$2="R&amp;T Level 5 - Clinical Lecturers (Vet School)",SUMIF('Points Lookup'!$V:$V,$B39,'Points Lookup'!$Z:$Z),IF($B$2="R&amp;T Level 6 - Clinical Associate Professors and Clinical Readers (Vet School)",SUMIF('Points Lookup'!$AC:$AC,$B39,'Points Lookup'!$AG:$AG),"")))</f>
        <v/>
      </c>
      <c r="V39" s="84" t="str">
        <f t="shared" ca="1" si="5"/>
        <v/>
      </c>
      <c r="AA39" s="39">
        <v>33</v>
      </c>
    </row>
    <row r="40" spans="2:27" x14ac:dyDescent="0.25">
      <c r="B40" s="68" t="str">
        <f ca="1">IFERROR(INDEX('Points Lookup'!$A:$A,MATCH($AA40,'Points Lookup'!$AN:$AN,0)),"")</f>
        <v/>
      </c>
      <c r="C40" s="81" t="str">
        <f ca="1">IF(B40="","",SUMIF(INDIRECT("'Points Lookup'!"&amp;VLOOKUP($B$2,Grades!A:BU,72,FALSE)&amp;":"&amp;VLOOKUP($B$2,Grades!A:BU,72,FALSE)),B40,INDIRECT("'Points Lookup'!"&amp;VLOOKUP($B$2,Grades!A:BU,73,FALSE)&amp;":"&amp;VLOOKUP($B$2,Grades!A:BU,73,FALSE))))</f>
        <v/>
      </c>
      <c r="D40" s="82" t="str">
        <f ca="1">IF(B40="","",IF(AND(VLOOKUP($B$2,Grades!$A:$BS,71,0)="Y",B40&lt;7),VLOOKUP($B40,Thresholds_Rates!$I$15:$J$18,2,FALSE),"-"))</f>
        <v/>
      </c>
      <c r="E40" s="81"/>
      <c r="F40" s="81" t="str">
        <f ca="1">IF($B40="","",IF(SUMIF(Grades!$A:$A,$B$2,Grades!$BO:$BO)=0,"-",IF(AND(VLOOKUP($B$2,Grades!$A:$BV,74,FALSE)="YES",B40&lt;Thresholds_Rates!$C$16),"-",$C40*Thresholds_Rates!$F$15)))</f>
        <v/>
      </c>
      <c r="G40" s="81" t="str">
        <f ca="1">IF(B40="","",IF($B$2="Salary Points 3 to 57","-",IF(SUMIF(Grades!$A:$A,$B$2,Grades!$BP:$BP)=0,"-",IF(AND(OR($B$2="New Consultant Contract"),$B40&lt;&gt;""),$C40*Thresholds_Rates!$F$16,IF(AND(OR($B$2="Clinical Lecturer / Medical Research Fellow",$B$2="Clinical Consultant - Old Contract (GP)"),$B40&lt;&gt;""),$C40*Thresholds_Rates!$F$16,IF(AND(OR($B$2="APM Level 7",$B$2="R&amp;T Level 7"),F40&lt;&gt;""),$C40*Thresholds_Rates!$F$16,IF(SUMIF(Grades!$A:$A,$B$2,Grades!$BP:$BP)=1,$C40*Thresholds_Rates!$F$16,"")))))))</f>
        <v/>
      </c>
      <c r="H40" s="81" t="str">
        <f ca="1">IF($B$2="Apprenticeship","-",IF(B40="","",IF(SUMIF(Grades!$A:$A,$B$2,Grades!$BQ:$BQ)=0,"-",IF(AND($B$2="Salary Points 3 to 57",B40&gt;Thresholds_Rates!$C$17),"-",IF(AND($B$2="Salary Points 3 to 57",B40&lt;=Thresholds_Rates!$C$17),$C40*Thresholds_Rates!$F$17,IF(AND(OR($B$2="New Consultant Contract"),$B40&lt;&gt;""),$C40*Thresholds_Rates!$F$17,IF(AND(OR($B$2="Clinical Lecturer / Medical Research Fellow",$B$2="Clinical Consultant - Old Contract (GP)"),$B40&lt;&gt;""),$C40*Thresholds_Rates!$F$17,IF(AND(OR($B$2="APM Level 7",$B$2="R&amp;T Level 7"),G40&lt;&gt;""),$C40*Thresholds_Rates!$F$17,IF(SUMIF(Grades!$A:$A,$B$2,Grades!$BQ:$BQ)=1,$C40*Thresholds_Rates!$F$17,"")))))))))</f>
        <v/>
      </c>
      <c r="I40" s="81" t="str">
        <f ca="1">IF($B40="","",IF($C40=0,0,ROUND(($C40-(Thresholds_Rates!$C$5*12))*Thresholds_Rates!$C$10,0)))</f>
        <v/>
      </c>
      <c r="J40" s="81" t="str">
        <f ca="1">IF(B40="","",(C40*Thresholds_Rates!$C$12))</f>
        <v/>
      </c>
      <c r="K40" s="81" t="str">
        <f ca="1">IF(B40="","",IF(AND($B$2="Salary Points 3 to 57",B40&gt;Thresholds_Rates!$C$17),"-",IF(SUMIF(Grades!$A:$A,$B$2,Grades!$BR:$BR)=0,"-",IF(AND($B$2="Salary Points 3 to 57",B40&lt;=Thresholds_Rates!$C$17),$C40*Thresholds_Rates!$F$18,IF(AND(OR($B$2="New Consultant Contract"),$B40&lt;&gt;""),$C40*Thresholds_Rates!$F$18,IF(AND(OR($B$2="Clinical Lecturer / Medical Research Fellow",$B$2="Clinical Consultant - Old Contract (GP)"),$B40&lt;&gt;""),$C40*Thresholds_Rates!$F$18,IF(AND(OR($B$2="APM Level 7",$B$2="R&amp;T Level 7"),I40&lt;&gt;""),$C40*Thresholds_Rates!$F$18,IF(SUMIF(Grades!$A:$A,$B$2,Grades!$BQ:$BQ)=1,$C40*Thresholds_Rates!$F$18,""))))))))</f>
        <v/>
      </c>
      <c r="L40" s="68"/>
      <c r="M40" s="81" t="str">
        <f t="shared" ca="1" si="0"/>
        <v/>
      </c>
      <c r="N40" s="81" t="str">
        <f t="shared" ca="1" si="1"/>
        <v/>
      </c>
      <c r="O40" s="81" t="str">
        <f t="shared" ca="1" si="2"/>
        <v/>
      </c>
      <c r="P40" s="81" t="str">
        <f t="shared" ca="1" si="3"/>
        <v/>
      </c>
      <c r="Q40" s="81" t="str">
        <f t="shared" ca="1" si="4"/>
        <v/>
      </c>
      <c r="S40" s="83" t="str">
        <f ca="1">IF(B40="","",IF($B$2="R&amp;T Level 5 - Clinical Lecturers (Vet School)",SUMIF('Points Lookup'!$V:$V,$B40,'Points Lookup'!$W:$W),IF($B$2="R&amp;T Level 6 - Clinical Associate Professors and Clinical Readers (Vet School)",SUMIF('Points Lookup'!$AC:$AC,$B40,'Points Lookup'!$AD:$AD),"")))</f>
        <v/>
      </c>
      <c r="T40" s="84" t="str">
        <f ca="1">IF(B40="","",IF($B$2="R&amp;T Level 5 - Clinical Lecturers (Vet School)",$C40-SUMIF('Points Lookup'!$V:$V,$B40,'Points Lookup'!$X:$X),IF($B$2="R&amp;T Level 6 - Clinical Associate Professors and Clinical Readers (Vet School)",$C40-SUMIF('Points Lookup'!$AC:$AC,$B40,'Points Lookup'!$AE:$AE),"")))</f>
        <v/>
      </c>
      <c r="U40" s="83" t="str">
        <f ca="1">IF(B40="","",IF($B$2="R&amp;T Level 5 - Clinical Lecturers (Vet School)",SUMIF('Points Lookup'!$V:$V,$B40,'Points Lookup'!$Z:$Z),IF($B$2="R&amp;T Level 6 - Clinical Associate Professors and Clinical Readers (Vet School)",SUMIF('Points Lookup'!$AC:$AC,$B40,'Points Lookup'!$AG:$AG),"")))</f>
        <v/>
      </c>
      <c r="V40" s="84" t="str">
        <f t="shared" ca="1" si="5"/>
        <v/>
      </c>
      <c r="AA40" s="39">
        <v>34</v>
      </c>
    </row>
    <row r="41" spans="2:27" x14ac:dyDescent="0.25">
      <c r="B41" s="68" t="str">
        <f ca="1">IFERROR(INDEX('Points Lookup'!$A:$A,MATCH($AA41,'Points Lookup'!$AN:$AN,0)),"")</f>
        <v/>
      </c>
      <c r="C41" s="81" t="str">
        <f ca="1">IF(B41="","",SUMIF(INDIRECT("'Points Lookup'!"&amp;VLOOKUP($B$2,Grades!A:BU,72,FALSE)&amp;":"&amp;VLOOKUP($B$2,Grades!A:BU,72,FALSE)),B41,INDIRECT("'Points Lookup'!"&amp;VLOOKUP($B$2,Grades!A:BU,73,FALSE)&amp;":"&amp;VLOOKUP($B$2,Grades!A:BU,73,FALSE))))</f>
        <v/>
      </c>
      <c r="D41" s="82" t="str">
        <f ca="1">IF(B41="","",IF(AND(VLOOKUP($B$2,Grades!$A:$BS,71,0)="Y",B41&lt;7),VLOOKUP($B41,Thresholds_Rates!$I$15:$J$18,2,FALSE),"-"))</f>
        <v/>
      </c>
      <c r="E41" s="81"/>
      <c r="F41" s="81" t="str">
        <f ca="1">IF($B41="","",IF(SUMIF(Grades!$A:$A,$B$2,Grades!$BO:$BO)=0,"-",IF(AND(VLOOKUP($B$2,Grades!$A:$BV,74,FALSE)="YES",B41&lt;Thresholds_Rates!$C$16),"-",$C41*Thresholds_Rates!$F$15)))</f>
        <v/>
      </c>
      <c r="G41" s="81" t="str">
        <f ca="1">IF(B41="","",IF($B$2="Salary Points 3 to 57","-",IF(SUMIF(Grades!$A:$A,$B$2,Grades!$BP:$BP)=0,"-",IF(AND(OR($B$2="New Consultant Contract"),$B41&lt;&gt;""),$C41*Thresholds_Rates!$F$16,IF(AND(OR($B$2="Clinical Lecturer / Medical Research Fellow",$B$2="Clinical Consultant - Old Contract (GP)"),$B41&lt;&gt;""),$C41*Thresholds_Rates!$F$16,IF(AND(OR($B$2="APM Level 7",$B$2="R&amp;T Level 7"),F41&lt;&gt;""),$C41*Thresholds_Rates!$F$16,IF(SUMIF(Grades!$A:$A,$B$2,Grades!$BP:$BP)=1,$C41*Thresholds_Rates!$F$16,"")))))))</f>
        <v/>
      </c>
      <c r="H41" s="81" t="str">
        <f ca="1">IF($B$2="Apprenticeship","-",IF(B41="","",IF(SUMIF(Grades!$A:$A,$B$2,Grades!$BQ:$BQ)=0,"-",IF(AND($B$2="Salary Points 3 to 57",B41&gt;Thresholds_Rates!$C$17),"-",IF(AND($B$2="Salary Points 3 to 57",B41&lt;=Thresholds_Rates!$C$17),$C41*Thresholds_Rates!$F$17,IF(AND(OR($B$2="New Consultant Contract"),$B41&lt;&gt;""),$C41*Thresholds_Rates!$F$17,IF(AND(OR($B$2="Clinical Lecturer / Medical Research Fellow",$B$2="Clinical Consultant - Old Contract (GP)"),$B41&lt;&gt;""),$C41*Thresholds_Rates!$F$17,IF(AND(OR($B$2="APM Level 7",$B$2="R&amp;T Level 7"),G41&lt;&gt;""),$C41*Thresholds_Rates!$F$17,IF(SUMIF(Grades!$A:$A,$B$2,Grades!$BQ:$BQ)=1,$C41*Thresholds_Rates!$F$17,"")))))))))</f>
        <v/>
      </c>
      <c r="I41" s="81" t="str">
        <f ca="1">IF($B41="","",IF($C41=0,0,ROUND(($C41-(Thresholds_Rates!$C$5*12))*Thresholds_Rates!$C$10,0)))</f>
        <v/>
      </c>
      <c r="J41" s="81" t="str">
        <f ca="1">IF(B41="","",(C41*Thresholds_Rates!$C$12))</f>
        <v/>
      </c>
      <c r="K41" s="81" t="str">
        <f ca="1">IF(B41="","",IF(AND($B$2="Salary Points 3 to 57",B41&gt;Thresholds_Rates!$C$17),"-",IF(SUMIF(Grades!$A:$A,$B$2,Grades!$BR:$BR)=0,"-",IF(AND($B$2="Salary Points 3 to 57",B41&lt;=Thresholds_Rates!$C$17),$C41*Thresholds_Rates!$F$18,IF(AND(OR($B$2="New Consultant Contract"),$B41&lt;&gt;""),$C41*Thresholds_Rates!$F$18,IF(AND(OR($B$2="Clinical Lecturer / Medical Research Fellow",$B$2="Clinical Consultant - Old Contract (GP)"),$B41&lt;&gt;""),$C41*Thresholds_Rates!$F$18,IF(AND(OR($B$2="APM Level 7",$B$2="R&amp;T Level 7"),I41&lt;&gt;""),$C41*Thresholds_Rates!$F$18,IF(SUMIF(Grades!$A:$A,$B$2,Grades!$BQ:$BQ)=1,$C41*Thresholds_Rates!$F$18,""))))))))</f>
        <v/>
      </c>
      <c r="L41" s="68"/>
      <c r="M41" s="81" t="str">
        <f t="shared" ca="1" si="0"/>
        <v/>
      </c>
      <c r="N41" s="81" t="str">
        <f t="shared" ca="1" si="1"/>
        <v/>
      </c>
      <c r="O41" s="81" t="str">
        <f t="shared" ca="1" si="2"/>
        <v/>
      </c>
      <c r="P41" s="81" t="str">
        <f t="shared" ca="1" si="3"/>
        <v/>
      </c>
      <c r="Q41" s="81" t="str">
        <f t="shared" ca="1" si="4"/>
        <v/>
      </c>
      <c r="S41" s="83" t="str">
        <f ca="1">IF(B41="","",IF($B$2="R&amp;T Level 5 - Clinical Lecturers (Vet School)",SUMIF('Points Lookup'!$V:$V,$B41,'Points Lookup'!$W:$W),IF($B$2="R&amp;T Level 6 - Clinical Associate Professors and Clinical Readers (Vet School)",SUMIF('Points Lookup'!$AC:$AC,$B41,'Points Lookup'!$AD:$AD),"")))</f>
        <v/>
      </c>
      <c r="T41" s="84" t="str">
        <f ca="1">IF(B41="","",IF($B$2="R&amp;T Level 5 - Clinical Lecturers (Vet School)",$C41-SUMIF('Points Lookup'!$V:$V,$B41,'Points Lookup'!$X:$X),IF($B$2="R&amp;T Level 6 - Clinical Associate Professors and Clinical Readers (Vet School)",$C41-SUMIF('Points Lookup'!$AC:$AC,$B41,'Points Lookup'!$AE:$AE),"")))</f>
        <v/>
      </c>
      <c r="U41" s="83" t="str">
        <f ca="1">IF(B41="","",IF($B$2="R&amp;T Level 5 - Clinical Lecturers (Vet School)",SUMIF('Points Lookup'!$V:$V,$B41,'Points Lookup'!$Z:$Z),IF($B$2="R&amp;T Level 6 - Clinical Associate Professors and Clinical Readers (Vet School)",SUMIF('Points Lookup'!$AC:$AC,$B41,'Points Lookup'!$AG:$AG),"")))</f>
        <v/>
      </c>
      <c r="V41" s="84" t="str">
        <f t="shared" ca="1" si="5"/>
        <v/>
      </c>
      <c r="AA41" s="39">
        <v>35</v>
      </c>
    </row>
    <row r="42" spans="2:27" x14ac:dyDescent="0.25">
      <c r="B42" s="68" t="str">
        <f ca="1">IFERROR(INDEX('Points Lookup'!$A:$A,MATCH($AA42,'Points Lookup'!$AN:$AN,0)),"")</f>
        <v/>
      </c>
      <c r="C42" s="81" t="str">
        <f ca="1">IF(B42="","",SUMIF(INDIRECT("'Points Lookup'!"&amp;VLOOKUP($B$2,Grades!A:BU,72,FALSE)&amp;":"&amp;VLOOKUP($B$2,Grades!A:BU,72,FALSE)),B42,INDIRECT("'Points Lookup'!"&amp;VLOOKUP($B$2,Grades!A:BU,73,FALSE)&amp;":"&amp;VLOOKUP($B$2,Grades!A:BU,73,FALSE))))</f>
        <v/>
      </c>
      <c r="D42" s="82" t="str">
        <f ca="1">IF(B42="","",IF(AND(VLOOKUP($B$2,Grades!$A:$BS,71,0)="Y",B42&lt;7),VLOOKUP($B42,Thresholds_Rates!$I$15:$J$18,2,FALSE),"-"))</f>
        <v/>
      </c>
      <c r="E42" s="81"/>
      <c r="F42" s="81" t="str">
        <f ca="1">IF($B42="","",IF(SUMIF(Grades!$A:$A,$B$2,Grades!$BO:$BO)=0,"-",IF(AND(VLOOKUP($B$2,Grades!$A:$BV,74,FALSE)="YES",B42&lt;Thresholds_Rates!$C$16),"-",$C42*Thresholds_Rates!$F$15)))</f>
        <v/>
      </c>
      <c r="G42" s="81" t="str">
        <f ca="1">IF(B42="","",IF($B$2="Salary Points 3 to 57","-",IF(SUMIF(Grades!$A:$A,$B$2,Grades!$BP:$BP)=0,"-",IF(AND(OR($B$2="New Consultant Contract"),$B42&lt;&gt;""),$C42*Thresholds_Rates!$F$16,IF(AND(OR($B$2="Clinical Lecturer / Medical Research Fellow",$B$2="Clinical Consultant - Old Contract (GP)"),$B42&lt;&gt;""),$C42*Thresholds_Rates!$F$16,IF(AND(OR($B$2="APM Level 7",$B$2="R&amp;T Level 7"),F42&lt;&gt;""),$C42*Thresholds_Rates!$F$16,IF(SUMIF(Grades!$A:$A,$B$2,Grades!$BP:$BP)=1,$C42*Thresholds_Rates!$F$16,"")))))))</f>
        <v/>
      </c>
      <c r="H42" s="81" t="str">
        <f ca="1">IF($B$2="Apprenticeship","-",IF(B42="","",IF(SUMIF(Grades!$A:$A,$B$2,Grades!$BQ:$BQ)=0,"-",IF(AND($B$2="Salary Points 3 to 57",B42&gt;Thresholds_Rates!$C$17),"-",IF(AND($B$2="Salary Points 3 to 57",B42&lt;=Thresholds_Rates!$C$17),$C42*Thresholds_Rates!$F$17,IF(AND(OR($B$2="New Consultant Contract"),$B42&lt;&gt;""),$C42*Thresholds_Rates!$F$17,IF(AND(OR($B$2="Clinical Lecturer / Medical Research Fellow",$B$2="Clinical Consultant - Old Contract (GP)"),$B42&lt;&gt;""),$C42*Thresholds_Rates!$F$17,IF(AND(OR($B$2="APM Level 7",$B$2="R&amp;T Level 7"),G42&lt;&gt;""),$C42*Thresholds_Rates!$F$17,IF(SUMIF(Grades!$A:$A,$B$2,Grades!$BQ:$BQ)=1,$C42*Thresholds_Rates!$F$17,"")))))))))</f>
        <v/>
      </c>
      <c r="I42" s="81" t="str">
        <f ca="1">IF($B42="","",IF($C42=0,0,ROUND(($C42-(Thresholds_Rates!$C$5*12))*Thresholds_Rates!$C$10,0)))</f>
        <v/>
      </c>
      <c r="J42" s="81" t="str">
        <f ca="1">IF(B42="","",(C42*Thresholds_Rates!$C$12))</f>
        <v/>
      </c>
      <c r="K42" s="81" t="str">
        <f ca="1">IF(B42="","",IF(AND($B$2="Salary Points 3 to 57",B42&gt;Thresholds_Rates!$C$17),"-",IF(SUMIF(Grades!$A:$A,$B$2,Grades!$BR:$BR)=0,"-",IF(AND($B$2="Salary Points 3 to 57",B42&lt;=Thresholds_Rates!$C$17),$C42*Thresholds_Rates!$F$18,IF(AND(OR($B$2="New Consultant Contract"),$B42&lt;&gt;""),$C42*Thresholds_Rates!$F$18,IF(AND(OR($B$2="Clinical Lecturer / Medical Research Fellow",$B$2="Clinical Consultant - Old Contract (GP)"),$B42&lt;&gt;""),$C42*Thresholds_Rates!$F$18,IF(AND(OR($B$2="APM Level 7",$B$2="R&amp;T Level 7"),I42&lt;&gt;""),$C42*Thresholds_Rates!$F$18,IF(SUMIF(Grades!$A:$A,$B$2,Grades!$BQ:$BQ)=1,$C42*Thresholds_Rates!$F$18,""))))))))</f>
        <v/>
      </c>
      <c r="L42" s="68"/>
      <c r="M42" s="81" t="str">
        <f t="shared" ca="1" si="0"/>
        <v/>
      </c>
      <c r="N42" s="81" t="str">
        <f t="shared" ca="1" si="1"/>
        <v/>
      </c>
      <c r="O42" s="81" t="str">
        <f t="shared" ca="1" si="2"/>
        <v/>
      </c>
      <c r="P42" s="81" t="str">
        <f t="shared" ca="1" si="3"/>
        <v/>
      </c>
      <c r="Q42" s="81" t="str">
        <f t="shared" ca="1" si="4"/>
        <v/>
      </c>
      <c r="S42" s="83" t="str">
        <f ca="1">IF(B42="","",IF($B$2="R&amp;T Level 5 - Clinical Lecturers (Vet School)",SUMIF('Points Lookup'!$V:$V,$B42,'Points Lookup'!$W:$W),IF($B$2="R&amp;T Level 6 - Clinical Associate Professors and Clinical Readers (Vet School)",SUMIF('Points Lookup'!$AC:$AC,$B42,'Points Lookup'!$AD:$AD),"")))</f>
        <v/>
      </c>
      <c r="T42" s="84" t="str">
        <f ca="1">IF(B42="","",IF($B$2="R&amp;T Level 5 - Clinical Lecturers (Vet School)",$C42-SUMIF('Points Lookup'!$V:$V,$B42,'Points Lookup'!$X:$X),IF($B$2="R&amp;T Level 6 - Clinical Associate Professors and Clinical Readers (Vet School)",$C42-SUMIF('Points Lookup'!$AC:$AC,$B42,'Points Lookup'!$AE:$AE),"")))</f>
        <v/>
      </c>
      <c r="U42" s="83" t="str">
        <f ca="1">IF(B42="","",IF($B$2="R&amp;T Level 5 - Clinical Lecturers (Vet School)",SUMIF('Points Lookup'!$V:$V,$B42,'Points Lookup'!$Z:$Z),IF($B$2="R&amp;T Level 6 - Clinical Associate Professors and Clinical Readers (Vet School)",SUMIF('Points Lookup'!$AC:$AC,$B42,'Points Lookup'!$AG:$AG),"")))</f>
        <v/>
      </c>
      <c r="V42" s="84" t="str">
        <f t="shared" ca="1" si="5"/>
        <v/>
      </c>
      <c r="AA42" s="39">
        <v>36</v>
      </c>
    </row>
    <row r="43" spans="2:27" x14ac:dyDescent="0.25">
      <c r="B43" s="68" t="str">
        <f ca="1">IFERROR(INDEX('Points Lookup'!$A:$A,MATCH($AA43,'Points Lookup'!$AN:$AN,0)),"")</f>
        <v/>
      </c>
      <c r="C43" s="81" t="str">
        <f ca="1">IF(B43="","",SUMIF(INDIRECT("'Points Lookup'!"&amp;VLOOKUP($B$2,Grades!A:BU,72,FALSE)&amp;":"&amp;VLOOKUP($B$2,Grades!A:BU,72,FALSE)),B43,INDIRECT("'Points Lookup'!"&amp;VLOOKUP($B$2,Grades!A:BU,73,FALSE)&amp;":"&amp;VLOOKUP($B$2,Grades!A:BU,73,FALSE))))</f>
        <v/>
      </c>
      <c r="D43" s="82" t="str">
        <f ca="1">IF(B43="","",IF(AND(VLOOKUP($B$2,Grades!$A:$BS,71,0)="Y",B43&lt;7),VLOOKUP($B43,Thresholds_Rates!$I$15:$J$18,2,FALSE),"-"))</f>
        <v/>
      </c>
      <c r="E43" s="81"/>
      <c r="F43" s="81" t="str">
        <f ca="1">IF($B43="","",IF(SUMIF(Grades!$A:$A,$B$2,Grades!$BO:$BO)=0,"-",IF(AND(VLOOKUP($B$2,Grades!$A:$BV,74,FALSE)="YES",B43&lt;Thresholds_Rates!$C$16),"-",$C43*Thresholds_Rates!$F$15)))</f>
        <v/>
      </c>
      <c r="G43" s="81" t="str">
        <f ca="1">IF(B43="","",IF($B$2="Salary Points 3 to 57","-",IF(SUMIF(Grades!$A:$A,$B$2,Grades!$BP:$BP)=0,"-",IF(AND(OR($B$2="New Consultant Contract"),$B43&lt;&gt;""),$C43*Thresholds_Rates!$F$16,IF(AND(OR($B$2="Clinical Lecturer / Medical Research Fellow",$B$2="Clinical Consultant - Old Contract (GP)"),$B43&lt;&gt;""),$C43*Thresholds_Rates!$F$16,IF(AND(OR($B$2="APM Level 7",$B$2="R&amp;T Level 7"),F43&lt;&gt;""),$C43*Thresholds_Rates!$F$16,IF(SUMIF(Grades!$A:$A,$B$2,Grades!$BP:$BP)=1,$C43*Thresholds_Rates!$F$16,"")))))))</f>
        <v/>
      </c>
      <c r="H43" s="81" t="str">
        <f ca="1">IF($B$2="Apprenticeship","-",IF(B43="","",IF(SUMIF(Grades!$A:$A,$B$2,Grades!$BQ:$BQ)=0,"-",IF(AND($B$2="Salary Points 3 to 57",B43&gt;Thresholds_Rates!$C$17),"-",IF(AND($B$2="Salary Points 3 to 57",B43&lt;=Thresholds_Rates!$C$17),$C43*Thresholds_Rates!$F$17,IF(AND(OR($B$2="New Consultant Contract"),$B43&lt;&gt;""),$C43*Thresholds_Rates!$F$17,IF(AND(OR($B$2="Clinical Lecturer / Medical Research Fellow",$B$2="Clinical Consultant - Old Contract (GP)"),$B43&lt;&gt;""),$C43*Thresholds_Rates!$F$17,IF(AND(OR($B$2="APM Level 7",$B$2="R&amp;T Level 7"),G43&lt;&gt;""),$C43*Thresholds_Rates!$F$17,IF(SUMIF(Grades!$A:$A,$B$2,Grades!$BQ:$BQ)=1,$C43*Thresholds_Rates!$F$17,"")))))))))</f>
        <v/>
      </c>
      <c r="I43" s="81" t="str">
        <f ca="1">IF($B43="","",IF($C43=0,0,ROUND(($C43-(Thresholds_Rates!$C$5*12))*Thresholds_Rates!$C$10,0)))</f>
        <v/>
      </c>
      <c r="J43" s="81" t="str">
        <f ca="1">IF(B43="","",(C43*Thresholds_Rates!$C$12))</f>
        <v/>
      </c>
      <c r="K43" s="81" t="str">
        <f ca="1">IF(B43="","",IF(AND($B$2="Salary Points 3 to 57",B43&gt;Thresholds_Rates!$C$17),"-",IF(SUMIF(Grades!$A:$A,$B$2,Grades!$BR:$BR)=0,"-",IF(AND($B$2="Salary Points 3 to 57",B43&lt;=Thresholds_Rates!$C$17),$C43*Thresholds_Rates!$F$18,IF(AND(OR($B$2="New Consultant Contract"),$B43&lt;&gt;""),$C43*Thresholds_Rates!$F$18,IF(AND(OR($B$2="Clinical Lecturer / Medical Research Fellow",$B$2="Clinical Consultant - Old Contract (GP)"),$B43&lt;&gt;""),$C43*Thresholds_Rates!$F$18,IF(AND(OR($B$2="APM Level 7",$B$2="R&amp;T Level 7"),I43&lt;&gt;""),$C43*Thresholds_Rates!$F$18,IF(SUMIF(Grades!$A:$A,$B$2,Grades!$BQ:$BQ)=1,$C43*Thresholds_Rates!$F$18,""))))))))</f>
        <v/>
      </c>
      <c r="L43" s="68"/>
      <c r="M43" s="81" t="str">
        <f t="shared" ca="1" si="0"/>
        <v/>
      </c>
      <c r="N43" s="81" t="str">
        <f t="shared" ca="1" si="1"/>
        <v/>
      </c>
      <c r="O43" s="81" t="str">
        <f t="shared" ca="1" si="2"/>
        <v/>
      </c>
      <c r="P43" s="81" t="str">
        <f t="shared" ca="1" si="3"/>
        <v/>
      </c>
      <c r="Q43" s="81" t="str">
        <f t="shared" ca="1" si="4"/>
        <v/>
      </c>
      <c r="S43" s="83" t="str">
        <f ca="1">IF(B43="","",IF($B$2="R&amp;T Level 5 - Clinical Lecturers (Vet School)",SUMIF('Points Lookup'!$V:$V,$B43,'Points Lookup'!$W:$W),IF($B$2="R&amp;T Level 6 - Clinical Associate Professors and Clinical Readers (Vet School)",SUMIF('Points Lookup'!$AC:$AC,$B43,'Points Lookup'!$AD:$AD),"")))</f>
        <v/>
      </c>
      <c r="T43" s="84" t="str">
        <f ca="1">IF(B43="","",IF($B$2="R&amp;T Level 5 - Clinical Lecturers (Vet School)",$C43-SUMIF('Points Lookup'!$V:$V,$B43,'Points Lookup'!$X:$X),IF($B$2="R&amp;T Level 6 - Clinical Associate Professors and Clinical Readers (Vet School)",$C43-SUMIF('Points Lookup'!$AC:$AC,$B43,'Points Lookup'!$AE:$AE),"")))</f>
        <v/>
      </c>
      <c r="U43" s="83" t="str">
        <f ca="1">IF(B43="","",IF($B$2="R&amp;T Level 5 - Clinical Lecturers (Vet School)",SUMIF('Points Lookup'!$V:$V,$B43,'Points Lookup'!$Z:$Z),IF($B$2="R&amp;T Level 6 - Clinical Associate Professors and Clinical Readers (Vet School)",SUMIF('Points Lookup'!$AC:$AC,$B43,'Points Lookup'!$AG:$AG),"")))</f>
        <v/>
      </c>
      <c r="V43" s="84" t="str">
        <f t="shared" ca="1" si="5"/>
        <v/>
      </c>
      <c r="AA43" s="39">
        <v>37</v>
      </c>
    </row>
    <row r="44" spans="2:27" x14ac:dyDescent="0.25">
      <c r="B44" s="68" t="str">
        <f ca="1">IFERROR(INDEX('Points Lookup'!$A:$A,MATCH($AA44,'Points Lookup'!$AN:$AN,0)),"")</f>
        <v/>
      </c>
      <c r="C44" s="81" t="str">
        <f ca="1">IF(B44="","",SUMIF(INDIRECT("'Points Lookup'!"&amp;VLOOKUP($B$2,Grades!A:BU,72,FALSE)&amp;":"&amp;VLOOKUP($B$2,Grades!A:BU,72,FALSE)),B44,INDIRECT("'Points Lookup'!"&amp;VLOOKUP($B$2,Grades!A:BU,73,FALSE)&amp;":"&amp;VLOOKUP($B$2,Grades!A:BU,73,FALSE))))</f>
        <v/>
      </c>
      <c r="D44" s="82" t="str">
        <f ca="1">IF(B44="","",IF(AND(VLOOKUP($B$2,Grades!$A:$BS,71,0)="Y",B44&lt;7),VLOOKUP($B44,Thresholds_Rates!$I$15:$J$18,2,FALSE),"-"))</f>
        <v/>
      </c>
      <c r="E44" s="81"/>
      <c r="F44" s="81" t="str">
        <f ca="1">IF($B44="","",IF(SUMIF(Grades!$A:$A,$B$2,Grades!$BO:$BO)=0,"-",IF(AND(VLOOKUP($B$2,Grades!$A:$BV,74,FALSE)="YES",B44&lt;Thresholds_Rates!$C$16),"-",$C44*Thresholds_Rates!$F$15)))</f>
        <v/>
      </c>
      <c r="G44" s="81" t="str">
        <f ca="1">IF(B44="","",IF($B$2="Salary Points 3 to 57","-",IF(SUMIF(Grades!$A:$A,$B$2,Grades!$BP:$BP)=0,"-",IF(AND(OR($B$2="New Consultant Contract"),$B44&lt;&gt;""),$C44*Thresholds_Rates!$F$16,IF(AND(OR($B$2="Clinical Lecturer / Medical Research Fellow",$B$2="Clinical Consultant - Old Contract (GP)"),$B44&lt;&gt;""),$C44*Thresholds_Rates!$F$16,IF(AND(OR($B$2="APM Level 7",$B$2="R&amp;T Level 7"),F44&lt;&gt;""),$C44*Thresholds_Rates!$F$16,IF(SUMIF(Grades!$A:$A,$B$2,Grades!$BP:$BP)=1,$C44*Thresholds_Rates!$F$16,"")))))))</f>
        <v/>
      </c>
      <c r="H44" s="81" t="str">
        <f ca="1">IF($B$2="Apprenticeship","-",IF(B44="","",IF(SUMIF(Grades!$A:$A,$B$2,Grades!$BQ:$BQ)=0,"-",IF(AND($B$2="Salary Points 3 to 57",B44&gt;Thresholds_Rates!$C$17),"-",IF(AND($B$2="Salary Points 3 to 57",B44&lt;=Thresholds_Rates!$C$17),$C44*Thresholds_Rates!$F$17,IF(AND(OR($B$2="New Consultant Contract"),$B44&lt;&gt;""),$C44*Thresholds_Rates!$F$17,IF(AND(OR($B$2="Clinical Lecturer / Medical Research Fellow",$B$2="Clinical Consultant - Old Contract (GP)"),$B44&lt;&gt;""),$C44*Thresholds_Rates!$F$17,IF(AND(OR($B$2="APM Level 7",$B$2="R&amp;T Level 7"),G44&lt;&gt;""),$C44*Thresholds_Rates!$F$17,IF(SUMIF(Grades!$A:$A,$B$2,Grades!$BQ:$BQ)=1,$C44*Thresholds_Rates!$F$17,"")))))))))</f>
        <v/>
      </c>
      <c r="I44" s="81" t="str">
        <f ca="1">IF($B44="","",IF($C44=0,0,ROUND(($C44-(Thresholds_Rates!$C$5*12))*Thresholds_Rates!$C$10,0)))</f>
        <v/>
      </c>
      <c r="J44" s="81" t="str">
        <f ca="1">IF(B44="","",(C44*Thresholds_Rates!$C$12))</f>
        <v/>
      </c>
      <c r="K44" s="81" t="str">
        <f ca="1">IF(B44="","",IF(AND($B$2="Salary Points 3 to 57",B44&gt;Thresholds_Rates!$C$17),"-",IF(SUMIF(Grades!$A:$A,$B$2,Grades!$BR:$BR)=0,"-",IF(AND($B$2="Salary Points 3 to 57",B44&lt;=Thresholds_Rates!$C$17),$C44*Thresholds_Rates!$F$18,IF(AND(OR($B$2="New Consultant Contract"),$B44&lt;&gt;""),$C44*Thresholds_Rates!$F$18,IF(AND(OR($B$2="Clinical Lecturer / Medical Research Fellow",$B$2="Clinical Consultant - Old Contract (GP)"),$B44&lt;&gt;""),$C44*Thresholds_Rates!$F$18,IF(AND(OR($B$2="APM Level 7",$B$2="R&amp;T Level 7"),I44&lt;&gt;""),$C44*Thresholds_Rates!$F$18,IF(SUMIF(Grades!$A:$A,$B$2,Grades!$BQ:$BQ)=1,$C44*Thresholds_Rates!$F$18,""))))))))</f>
        <v/>
      </c>
      <c r="L44" s="68"/>
      <c r="M44" s="81" t="str">
        <f t="shared" ca="1" si="0"/>
        <v/>
      </c>
      <c r="N44" s="81" t="str">
        <f t="shared" ca="1" si="1"/>
        <v/>
      </c>
      <c r="O44" s="81" t="str">
        <f t="shared" ca="1" si="2"/>
        <v/>
      </c>
      <c r="P44" s="81" t="str">
        <f t="shared" ca="1" si="3"/>
        <v/>
      </c>
      <c r="Q44" s="81" t="str">
        <f t="shared" ca="1" si="4"/>
        <v/>
      </c>
      <c r="S44" s="83" t="str">
        <f ca="1">IF(B44="","",IF($B$2="R&amp;T Level 5 - Clinical Lecturers (Vet School)",SUMIF('Points Lookup'!$V:$V,$B44,'Points Lookup'!$W:$W),IF($B$2="R&amp;T Level 6 - Clinical Associate Professors and Clinical Readers (Vet School)",SUMIF('Points Lookup'!$AC:$AC,$B44,'Points Lookup'!$AD:$AD),"")))</f>
        <v/>
      </c>
      <c r="T44" s="84" t="str">
        <f ca="1">IF(B44="","",IF($B$2="R&amp;T Level 5 - Clinical Lecturers (Vet School)",$C44-SUMIF('Points Lookup'!$V:$V,$B44,'Points Lookup'!$X:$X),IF($B$2="R&amp;T Level 6 - Clinical Associate Professors and Clinical Readers (Vet School)",$C44-SUMIF('Points Lookup'!$AC:$AC,$B44,'Points Lookup'!$AE:$AE),"")))</f>
        <v/>
      </c>
      <c r="U44" s="83" t="str">
        <f ca="1">IF(B44="","",IF($B$2="R&amp;T Level 5 - Clinical Lecturers (Vet School)",SUMIF('Points Lookup'!$V:$V,$B44,'Points Lookup'!$Z:$Z),IF($B$2="R&amp;T Level 6 - Clinical Associate Professors and Clinical Readers (Vet School)",SUMIF('Points Lookup'!$AC:$AC,$B44,'Points Lookup'!$AG:$AG),"")))</f>
        <v/>
      </c>
      <c r="V44" s="84" t="str">
        <f t="shared" ca="1" si="5"/>
        <v/>
      </c>
      <c r="AA44" s="39">
        <v>38</v>
      </c>
    </row>
    <row r="45" spans="2:27" x14ac:dyDescent="0.25">
      <c r="B45" s="68" t="str">
        <f ca="1">IFERROR(INDEX('Points Lookup'!$A:$A,MATCH($AA45,'Points Lookup'!$AN:$AN,0)),"")</f>
        <v/>
      </c>
      <c r="C45" s="81" t="str">
        <f ca="1">IF(B45="","",SUMIF(INDIRECT("'Points Lookup'!"&amp;VLOOKUP($B$2,Grades!A:BU,72,FALSE)&amp;":"&amp;VLOOKUP($B$2,Grades!A:BU,72,FALSE)),B45,INDIRECT("'Points Lookup'!"&amp;VLOOKUP($B$2,Grades!A:BU,73,FALSE)&amp;":"&amp;VLOOKUP($B$2,Grades!A:BU,73,FALSE))))</f>
        <v/>
      </c>
      <c r="D45" s="82" t="str">
        <f ca="1">IF(B45="","",IF(AND(VLOOKUP($B$2,Grades!$A:$BS,71,0)="Y",B45&lt;7),VLOOKUP($B45,Thresholds_Rates!$I$15:$J$18,2,FALSE),"-"))</f>
        <v/>
      </c>
      <c r="E45" s="81"/>
      <c r="F45" s="81" t="str">
        <f ca="1">IF($B45="","",IF(SUMIF(Grades!$A:$A,$B$2,Grades!$BO:$BO)=0,"-",IF(AND(VLOOKUP($B$2,Grades!$A:$BV,74,FALSE)="YES",B45&lt;Thresholds_Rates!$C$16),"-",$C45*Thresholds_Rates!$F$15)))</f>
        <v/>
      </c>
      <c r="G45" s="81" t="str">
        <f ca="1">IF(B45="","",IF($B$2="Salary Points 3 to 57","-",IF(SUMIF(Grades!$A:$A,$B$2,Grades!$BP:$BP)=0,"-",IF(AND(OR($B$2="New Consultant Contract"),$B45&lt;&gt;""),$C45*Thresholds_Rates!$F$16,IF(AND(OR($B$2="Clinical Lecturer / Medical Research Fellow",$B$2="Clinical Consultant - Old Contract (GP)"),$B45&lt;&gt;""),$C45*Thresholds_Rates!$F$16,IF(AND(OR($B$2="APM Level 7",$B$2="R&amp;T Level 7"),F45&lt;&gt;""),$C45*Thresholds_Rates!$F$16,IF(SUMIF(Grades!$A:$A,$B$2,Grades!$BP:$BP)=1,$C45*Thresholds_Rates!$F$16,"")))))))</f>
        <v/>
      </c>
      <c r="H45" s="81" t="str">
        <f ca="1">IF($B$2="Apprenticeship","-",IF(B45="","",IF(SUMIF(Grades!$A:$A,$B$2,Grades!$BQ:$BQ)=0,"-",IF(AND($B$2="Salary Points 3 to 57",B45&gt;Thresholds_Rates!$C$17),"-",IF(AND($B$2="Salary Points 3 to 57",B45&lt;=Thresholds_Rates!$C$17),$C45*Thresholds_Rates!$F$17,IF(AND(OR($B$2="New Consultant Contract"),$B45&lt;&gt;""),$C45*Thresholds_Rates!$F$17,IF(AND(OR($B$2="Clinical Lecturer / Medical Research Fellow",$B$2="Clinical Consultant - Old Contract (GP)"),$B45&lt;&gt;""),$C45*Thresholds_Rates!$F$17,IF(AND(OR($B$2="APM Level 7",$B$2="R&amp;T Level 7"),G45&lt;&gt;""),$C45*Thresholds_Rates!$F$17,IF(SUMIF(Grades!$A:$A,$B$2,Grades!$BQ:$BQ)=1,$C45*Thresholds_Rates!$F$17,"")))))))))</f>
        <v/>
      </c>
      <c r="I45" s="81" t="str">
        <f ca="1">IF($B45="","",IF($C45=0,0,ROUND(($C45-(Thresholds_Rates!$C$5*12))*Thresholds_Rates!$C$10,0)))</f>
        <v/>
      </c>
      <c r="J45" s="81" t="str">
        <f ca="1">IF(B45="","",(C45*Thresholds_Rates!$C$12))</f>
        <v/>
      </c>
      <c r="K45" s="81" t="str">
        <f ca="1">IF(B45="","",IF(AND($B$2="Salary Points 3 to 57",B45&gt;Thresholds_Rates!$C$17),"-",IF(SUMIF(Grades!$A:$A,$B$2,Grades!$BR:$BR)=0,"-",IF(AND($B$2="Salary Points 3 to 57",B45&lt;=Thresholds_Rates!$C$17),$C45*Thresholds_Rates!$F$18,IF(AND(OR($B$2="New Consultant Contract"),$B45&lt;&gt;""),$C45*Thresholds_Rates!$F$18,IF(AND(OR($B$2="Clinical Lecturer / Medical Research Fellow",$B$2="Clinical Consultant - Old Contract (GP)"),$B45&lt;&gt;""),$C45*Thresholds_Rates!$F$18,IF(AND(OR($B$2="APM Level 7",$B$2="R&amp;T Level 7"),I45&lt;&gt;""),$C45*Thresholds_Rates!$F$18,IF(SUMIF(Grades!$A:$A,$B$2,Grades!$BQ:$BQ)=1,$C45*Thresholds_Rates!$F$18,""))))))))</f>
        <v/>
      </c>
      <c r="L45" s="68"/>
      <c r="M45" s="81" t="str">
        <f t="shared" ca="1" si="0"/>
        <v/>
      </c>
      <c r="N45" s="81" t="str">
        <f t="shared" ca="1" si="1"/>
        <v/>
      </c>
      <c r="O45" s="81" t="str">
        <f t="shared" ca="1" si="2"/>
        <v/>
      </c>
      <c r="P45" s="81" t="str">
        <f t="shared" ca="1" si="3"/>
        <v/>
      </c>
      <c r="Q45" s="81" t="str">
        <f t="shared" ca="1" si="4"/>
        <v/>
      </c>
      <c r="S45" s="83" t="str">
        <f ca="1">IF(B45="","",IF($B$2="R&amp;T Level 5 - Clinical Lecturers (Vet School)",SUMIF('Points Lookup'!$V:$V,$B45,'Points Lookup'!$W:$W),IF($B$2="R&amp;T Level 6 - Clinical Associate Professors and Clinical Readers (Vet School)",SUMIF('Points Lookup'!$AC:$AC,$B45,'Points Lookup'!$AD:$AD),"")))</f>
        <v/>
      </c>
      <c r="T45" s="84" t="str">
        <f ca="1">IF(B45="","",IF($B$2="R&amp;T Level 5 - Clinical Lecturers (Vet School)",$C45-SUMIF('Points Lookup'!$V:$V,$B45,'Points Lookup'!$X:$X),IF($B$2="R&amp;T Level 6 - Clinical Associate Professors and Clinical Readers (Vet School)",$C45-SUMIF('Points Lookup'!$AC:$AC,$B45,'Points Lookup'!$AE:$AE),"")))</f>
        <v/>
      </c>
      <c r="U45" s="83" t="str">
        <f ca="1">IF(B45="","",IF($B$2="R&amp;T Level 5 - Clinical Lecturers (Vet School)",SUMIF('Points Lookup'!$V:$V,$B45,'Points Lookup'!$Z:$Z),IF($B$2="R&amp;T Level 6 - Clinical Associate Professors and Clinical Readers (Vet School)",SUMIF('Points Lookup'!$AC:$AC,$B45,'Points Lookup'!$AG:$AG),"")))</f>
        <v/>
      </c>
      <c r="V45" s="84" t="str">
        <f t="shared" ca="1" si="5"/>
        <v/>
      </c>
      <c r="AA45" s="39">
        <v>39</v>
      </c>
    </row>
    <row r="46" spans="2:27" x14ac:dyDescent="0.25">
      <c r="B46" s="68" t="str">
        <f ca="1">IFERROR(INDEX('Points Lookup'!$A:$A,MATCH($AA46,'Points Lookup'!$AN:$AN,0)),"")</f>
        <v/>
      </c>
      <c r="C46" s="81" t="str">
        <f ca="1">IF(B46="","",SUMIF(INDIRECT("'Points Lookup'!"&amp;VLOOKUP($B$2,Grades!A:BU,72,FALSE)&amp;":"&amp;VLOOKUP($B$2,Grades!A:BU,72,FALSE)),B46,INDIRECT("'Points Lookup'!"&amp;VLOOKUP($B$2,Grades!A:BU,73,FALSE)&amp;":"&amp;VLOOKUP($B$2,Grades!A:BU,73,FALSE))))</f>
        <v/>
      </c>
      <c r="D46" s="82" t="str">
        <f ca="1">IF(B46="","",IF(AND(VLOOKUP($B$2,Grades!$A:$BS,71,0)="Y",B46&lt;7),VLOOKUP($B46,Thresholds_Rates!$I$15:$J$18,2,FALSE),"-"))</f>
        <v/>
      </c>
      <c r="E46" s="81"/>
      <c r="F46" s="81" t="str">
        <f ca="1">IF($B46="","",IF(SUMIF(Grades!$A:$A,$B$2,Grades!$BO:$BO)=0,"-",IF(AND(VLOOKUP($B$2,Grades!$A:$BV,74,FALSE)="YES",B46&lt;Thresholds_Rates!$C$16),"-",$C46*Thresholds_Rates!$F$15)))</f>
        <v/>
      </c>
      <c r="G46" s="81" t="str">
        <f ca="1">IF(B46="","",IF($B$2="Salary Points 3 to 57","-",IF(SUMIF(Grades!$A:$A,$B$2,Grades!$BP:$BP)=0,"-",IF(AND(OR($B$2="New Consultant Contract"),$B46&lt;&gt;""),$C46*Thresholds_Rates!$F$16,IF(AND(OR($B$2="Clinical Lecturer / Medical Research Fellow",$B$2="Clinical Consultant - Old Contract (GP)"),$B46&lt;&gt;""),$C46*Thresholds_Rates!$F$16,IF(AND(OR($B$2="APM Level 7",$B$2="R&amp;T Level 7"),F46&lt;&gt;""),$C46*Thresholds_Rates!$F$16,IF(SUMIF(Grades!$A:$A,$B$2,Grades!$BP:$BP)=1,$C46*Thresholds_Rates!$F$16,"")))))))</f>
        <v/>
      </c>
      <c r="H46" s="81" t="str">
        <f ca="1">IF($B$2="Apprenticeship","-",IF(B46="","",IF(SUMIF(Grades!$A:$A,$B$2,Grades!$BQ:$BQ)=0,"-",IF(AND($B$2="Salary Points 3 to 57",B46&gt;Thresholds_Rates!$C$17),"-",IF(AND($B$2="Salary Points 3 to 57",B46&lt;=Thresholds_Rates!$C$17),$C46*Thresholds_Rates!$F$17,IF(AND(OR($B$2="New Consultant Contract"),$B46&lt;&gt;""),$C46*Thresholds_Rates!$F$17,IF(AND(OR($B$2="Clinical Lecturer / Medical Research Fellow",$B$2="Clinical Consultant - Old Contract (GP)"),$B46&lt;&gt;""),$C46*Thresholds_Rates!$F$17,IF(AND(OR($B$2="APM Level 7",$B$2="R&amp;T Level 7"),G46&lt;&gt;""),$C46*Thresholds_Rates!$F$17,IF(SUMIF(Grades!$A:$A,$B$2,Grades!$BQ:$BQ)=1,$C46*Thresholds_Rates!$F$17,"")))))))))</f>
        <v/>
      </c>
      <c r="I46" s="81" t="str">
        <f ca="1">IF($B46="","",IF($C46=0,0,ROUND(($C46-(Thresholds_Rates!$C$5*12))*Thresholds_Rates!$C$10,0)))</f>
        <v/>
      </c>
      <c r="J46" s="81" t="str">
        <f ca="1">IF(B46="","",(C46*Thresholds_Rates!$C$12))</f>
        <v/>
      </c>
      <c r="K46" s="81" t="str">
        <f ca="1">IF(B46="","",IF(AND($B$2="Salary Points 3 to 57",B46&gt;Thresholds_Rates!$C$17),"-",IF(SUMIF(Grades!$A:$A,$B$2,Grades!$BR:$BR)=0,"-",IF(AND($B$2="Salary Points 3 to 57",B46&lt;=Thresholds_Rates!$C$17),$C46*Thresholds_Rates!$F$18,IF(AND(OR($B$2="New Consultant Contract"),$B46&lt;&gt;""),$C46*Thresholds_Rates!$F$18,IF(AND(OR($B$2="Clinical Lecturer / Medical Research Fellow",$B$2="Clinical Consultant - Old Contract (GP)"),$B46&lt;&gt;""),$C46*Thresholds_Rates!$F$18,IF(AND(OR($B$2="APM Level 7",$B$2="R&amp;T Level 7"),I46&lt;&gt;""),$C46*Thresholds_Rates!$F$18,IF(SUMIF(Grades!$A:$A,$B$2,Grades!$BQ:$BQ)=1,$C46*Thresholds_Rates!$F$18,""))))))))</f>
        <v/>
      </c>
      <c r="L46" s="68"/>
      <c r="M46" s="81" t="str">
        <f t="shared" ca="1" si="0"/>
        <v/>
      </c>
      <c r="N46" s="81" t="str">
        <f t="shared" ca="1" si="1"/>
        <v/>
      </c>
      <c r="O46" s="81" t="str">
        <f t="shared" ca="1" si="2"/>
        <v/>
      </c>
      <c r="P46" s="81" t="str">
        <f t="shared" ca="1" si="3"/>
        <v/>
      </c>
      <c r="Q46" s="81" t="str">
        <f t="shared" ca="1" si="4"/>
        <v/>
      </c>
      <c r="S46" s="83" t="str">
        <f ca="1">IF(B46="","",IF($B$2="R&amp;T Level 5 - Clinical Lecturers (Vet School)",SUMIF('Points Lookup'!$V:$V,$B46,'Points Lookup'!$W:$W),IF($B$2="R&amp;T Level 6 - Clinical Associate Professors and Clinical Readers (Vet School)",SUMIF('Points Lookup'!$AC:$AC,$B46,'Points Lookup'!$AD:$AD),"")))</f>
        <v/>
      </c>
      <c r="T46" s="84" t="str">
        <f ca="1">IF(B46="","",IF($B$2="R&amp;T Level 5 - Clinical Lecturers (Vet School)",$C46-SUMIF('Points Lookup'!$V:$V,$B46,'Points Lookup'!$X:$X),IF($B$2="R&amp;T Level 6 - Clinical Associate Professors and Clinical Readers (Vet School)",$C46-SUMIF('Points Lookup'!$AC:$AC,$B46,'Points Lookup'!$AE:$AE),"")))</f>
        <v/>
      </c>
      <c r="U46" s="83" t="str">
        <f ca="1">IF(B46="","",IF($B$2="R&amp;T Level 5 - Clinical Lecturers (Vet School)",SUMIF('Points Lookup'!$V:$V,$B46,'Points Lookup'!$Z:$Z),IF($B$2="R&amp;T Level 6 - Clinical Associate Professors and Clinical Readers (Vet School)",SUMIF('Points Lookup'!$AC:$AC,$B46,'Points Lookup'!$AG:$AG),"")))</f>
        <v/>
      </c>
      <c r="V46" s="84" t="str">
        <f t="shared" ca="1" si="5"/>
        <v/>
      </c>
      <c r="AA46" s="39">
        <v>40</v>
      </c>
    </row>
    <row r="47" spans="2:27" x14ac:dyDescent="0.25">
      <c r="B47" s="68" t="str">
        <f ca="1">IFERROR(INDEX('Points Lookup'!$A:$A,MATCH($AA47,'Points Lookup'!$AN:$AN,0)),"")</f>
        <v/>
      </c>
      <c r="C47" s="81" t="str">
        <f ca="1">IF(B47="","",SUMIF(INDIRECT("'Points Lookup'!"&amp;VLOOKUP($B$2,Grades!A:BU,72,FALSE)&amp;":"&amp;VLOOKUP($B$2,Grades!A:BU,72,FALSE)),B47,INDIRECT("'Points Lookup'!"&amp;VLOOKUP($B$2,Grades!A:BU,73,FALSE)&amp;":"&amp;VLOOKUP($B$2,Grades!A:BU,73,FALSE))))</f>
        <v/>
      </c>
      <c r="D47" s="82" t="str">
        <f ca="1">IF(B47="","",IF(AND(VLOOKUP($B$2,Grades!$A:$BS,71,0)="Y",B47&lt;7),VLOOKUP($B47,Thresholds_Rates!$I$15:$J$18,2,FALSE),"-"))</f>
        <v/>
      </c>
      <c r="E47" s="81"/>
      <c r="F47" s="81" t="str">
        <f ca="1">IF($B47="","",IF(SUMIF(Grades!$A:$A,$B$2,Grades!$BO:$BO)=0,"-",IF(AND(VLOOKUP($B$2,Grades!$A:$BV,74,FALSE)="YES",B47&lt;Thresholds_Rates!$C$16),"-",$C47*Thresholds_Rates!$F$15)))</f>
        <v/>
      </c>
      <c r="G47" s="81" t="str">
        <f ca="1">IF(B47="","",IF($B$2="Salary Points 3 to 57","-",IF(SUMIF(Grades!$A:$A,$B$2,Grades!$BP:$BP)=0,"-",IF(AND(OR($B$2="New Consultant Contract"),$B47&lt;&gt;""),$C47*Thresholds_Rates!$F$16,IF(AND(OR($B$2="Clinical Lecturer / Medical Research Fellow",$B$2="Clinical Consultant - Old Contract (GP)"),$B47&lt;&gt;""),$C47*Thresholds_Rates!$F$16,IF(AND(OR($B$2="APM Level 7",$B$2="R&amp;T Level 7"),F47&lt;&gt;""),$C47*Thresholds_Rates!$F$16,IF(SUMIF(Grades!$A:$A,$B$2,Grades!$BP:$BP)=1,$C47*Thresholds_Rates!$F$16,"")))))))</f>
        <v/>
      </c>
      <c r="H47" s="81" t="str">
        <f ca="1">IF($B$2="Apprenticeship","-",IF(B47="","",IF(SUMIF(Grades!$A:$A,$B$2,Grades!$BQ:$BQ)=0,"-",IF(AND($B$2="Salary Points 3 to 57",B47&gt;Thresholds_Rates!$C$17),"-",IF(AND($B$2="Salary Points 3 to 57",B47&lt;=Thresholds_Rates!$C$17),$C47*Thresholds_Rates!$F$17,IF(AND(OR($B$2="New Consultant Contract"),$B47&lt;&gt;""),$C47*Thresholds_Rates!$F$17,IF(AND(OR($B$2="Clinical Lecturer / Medical Research Fellow",$B$2="Clinical Consultant - Old Contract (GP)"),$B47&lt;&gt;""),$C47*Thresholds_Rates!$F$17,IF(AND(OR($B$2="APM Level 7",$B$2="R&amp;T Level 7"),G47&lt;&gt;""),$C47*Thresholds_Rates!$F$17,IF(SUMIF(Grades!$A:$A,$B$2,Grades!$BQ:$BQ)=1,$C47*Thresholds_Rates!$F$17,"")))))))))</f>
        <v/>
      </c>
      <c r="I47" s="81" t="str">
        <f ca="1">IF($B47="","",IF($C47=0,0,ROUND(($C47-(Thresholds_Rates!$C$5*12))*Thresholds_Rates!$C$10,0)))</f>
        <v/>
      </c>
      <c r="J47" s="81" t="str">
        <f ca="1">IF(B47="","",(C47*Thresholds_Rates!$C$12))</f>
        <v/>
      </c>
      <c r="K47" s="81" t="str">
        <f ca="1">IF(B47="","",IF(AND($B$2="Salary Points 3 to 57",B47&gt;Thresholds_Rates!$C$17),"-",IF(SUMIF(Grades!$A:$A,$B$2,Grades!$BR:$BR)=0,"-",IF(AND($B$2="Salary Points 3 to 57",B47&lt;=Thresholds_Rates!$C$17),$C47*Thresholds_Rates!$F$18,IF(AND(OR($B$2="New Consultant Contract"),$B47&lt;&gt;""),$C47*Thresholds_Rates!$F$18,IF(AND(OR($B$2="Clinical Lecturer / Medical Research Fellow",$B$2="Clinical Consultant - Old Contract (GP)"),$B47&lt;&gt;""),$C47*Thresholds_Rates!$F$18,IF(AND(OR($B$2="APM Level 7",$B$2="R&amp;T Level 7"),I47&lt;&gt;""),$C47*Thresholds_Rates!$F$18,IF(SUMIF(Grades!$A:$A,$B$2,Grades!$BQ:$BQ)=1,$C47*Thresholds_Rates!$F$18,""))))))))</f>
        <v/>
      </c>
      <c r="L47" s="68"/>
      <c r="M47" s="81" t="str">
        <f t="shared" ca="1" si="0"/>
        <v/>
      </c>
      <c r="N47" s="81" t="str">
        <f t="shared" ca="1" si="1"/>
        <v/>
      </c>
      <c r="O47" s="81" t="str">
        <f t="shared" ca="1" si="2"/>
        <v/>
      </c>
      <c r="P47" s="81" t="str">
        <f t="shared" ca="1" si="3"/>
        <v/>
      </c>
      <c r="Q47" s="81" t="str">
        <f t="shared" ca="1" si="4"/>
        <v/>
      </c>
      <c r="S47" s="83" t="str">
        <f ca="1">IF(B47="","",IF($B$2="R&amp;T Level 5 - Clinical Lecturers (Vet School)",SUMIF('Points Lookup'!$V:$V,$B47,'Points Lookup'!$W:$W),IF($B$2="R&amp;T Level 6 - Clinical Associate Professors and Clinical Readers (Vet School)",SUMIF('Points Lookup'!$AC:$AC,$B47,'Points Lookup'!$AD:$AD),"")))</f>
        <v/>
      </c>
      <c r="T47" s="84" t="str">
        <f ca="1">IF(B47="","",IF($B$2="R&amp;T Level 5 - Clinical Lecturers (Vet School)",$C47-SUMIF('Points Lookup'!$V:$V,$B47,'Points Lookup'!$X:$X),IF($B$2="R&amp;T Level 6 - Clinical Associate Professors and Clinical Readers (Vet School)",$C47-SUMIF('Points Lookup'!$AC:$AC,$B47,'Points Lookup'!$AE:$AE),"")))</f>
        <v/>
      </c>
      <c r="U47" s="83" t="str">
        <f ca="1">IF(B47="","",IF($B$2="R&amp;T Level 5 - Clinical Lecturers (Vet School)",SUMIF('Points Lookup'!$V:$V,$B47,'Points Lookup'!$Z:$Z),IF($B$2="R&amp;T Level 6 - Clinical Associate Professors and Clinical Readers (Vet School)",SUMIF('Points Lookup'!$AC:$AC,$B47,'Points Lookup'!$AG:$AG),"")))</f>
        <v/>
      </c>
      <c r="V47" s="84" t="str">
        <f t="shared" ca="1" si="5"/>
        <v/>
      </c>
      <c r="AA47" s="39">
        <v>41</v>
      </c>
    </row>
    <row r="48" spans="2:27" x14ac:dyDescent="0.25">
      <c r="B48" s="68" t="str">
        <f ca="1">IFERROR(INDEX('Points Lookup'!$A:$A,MATCH($AA48,'Points Lookup'!$AN:$AN,0)),"")</f>
        <v/>
      </c>
      <c r="C48" s="81" t="str">
        <f ca="1">IF(B48="","",SUMIF(INDIRECT("'Points Lookup'!"&amp;VLOOKUP($B$2,Grades!A:BU,72,FALSE)&amp;":"&amp;VLOOKUP($B$2,Grades!A:BU,72,FALSE)),B48,INDIRECT("'Points Lookup'!"&amp;VLOOKUP($B$2,Grades!A:BU,73,FALSE)&amp;":"&amp;VLOOKUP($B$2,Grades!A:BU,73,FALSE))))</f>
        <v/>
      </c>
      <c r="D48" s="82" t="str">
        <f ca="1">IF(B48="","",IF(AND(VLOOKUP($B$2,Grades!$A:$BS,71,0)="Y",B48&lt;7),VLOOKUP($B48,Thresholds_Rates!$I$15:$J$18,2,FALSE),"-"))</f>
        <v/>
      </c>
      <c r="E48" s="81"/>
      <c r="F48" s="81" t="str">
        <f ca="1">IF($B48="","",IF(SUMIF(Grades!$A:$A,$B$2,Grades!$BO:$BO)=0,"-",IF(AND(VLOOKUP($B$2,Grades!$A:$BV,74,FALSE)="YES",B48&lt;Thresholds_Rates!$C$16),"-",$C48*Thresholds_Rates!$F$15)))</f>
        <v/>
      </c>
      <c r="G48" s="81" t="str">
        <f ca="1">IF(B48="","",IF($B$2="Salary Points 3 to 57","-",IF(SUMIF(Grades!$A:$A,$B$2,Grades!$BP:$BP)=0,"-",IF(AND(OR($B$2="New Consultant Contract"),$B48&lt;&gt;""),$C48*Thresholds_Rates!$F$16,IF(AND(OR($B$2="Clinical Lecturer / Medical Research Fellow",$B$2="Clinical Consultant - Old Contract (GP)"),$B48&lt;&gt;""),$C48*Thresholds_Rates!$F$16,IF(AND(OR($B$2="APM Level 7",$B$2="R&amp;T Level 7"),F48&lt;&gt;""),$C48*Thresholds_Rates!$F$16,IF(SUMIF(Grades!$A:$A,$B$2,Grades!$BP:$BP)=1,$C48*Thresholds_Rates!$F$16,"")))))))</f>
        <v/>
      </c>
      <c r="H48" s="81" t="str">
        <f ca="1">IF($B$2="Apprenticeship","-",IF(B48="","",IF(SUMIF(Grades!$A:$A,$B$2,Grades!$BQ:$BQ)=0,"-",IF(AND($B$2="Salary Points 3 to 57",B48&gt;Thresholds_Rates!$C$17),"-",IF(AND($B$2="Salary Points 3 to 57",B48&lt;=Thresholds_Rates!$C$17),$C48*Thresholds_Rates!$F$17,IF(AND(OR($B$2="New Consultant Contract"),$B48&lt;&gt;""),$C48*Thresholds_Rates!$F$17,IF(AND(OR($B$2="Clinical Lecturer / Medical Research Fellow",$B$2="Clinical Consultant - Old Contract (GP)"),$B48&lt;&gt;""),$C48*Thresholds_Rates!$F$17,IF(AND(OR($B$2="APM Level 7",$B$2="R&amp;T Level 7"),G48&lt;&gt;""),$C48*Thresholds_Rates!$F$17,IF(SUMIF(Grades!$A:$A,$B$2,Grades!$BQ:$BQ)=1,$C48*Thresholds_Rates!$F$17,"")))))))))</f>
        <v/>
      </c>
      <c r="I48" s="81" t="str">
        <f ca="1">IF($B48="","",IF($C48=0,0,ROUND(($C48-(Thresholds_Rates!$C$5*12))*Thresholds_Rates!$C$10,0)))</f>
        <v/>
      </c>
      <c r="J48" s="81" t="str">
        <f ca="1">IF(B48="","",(C48*Thresholds_Rates!$C$12))</f>
        <v/>
      </c>
      <c r="K48" s="81" t="str">
        <f ca="1">IF(B48="","",IF(AND($B$2="Salary Points 3 to 57",B48&gt;Thresholds_Rates!$C$17),"-",IF(SUMIF(Grades!$A:$A,$B$2,Grades!$BR:$BR)=0,"-",IF(AND($B$2="Salary Points 3 to 57",B48&lt;=Thresholds_Rates!$C$17),$C48*Thresholds_Rates!$F$18,IF(AND(OR($B$2="New Consultant Contract"),$B48&lt;&gt;""),$C48*Thresholds_Rates!$F$18,IF(AND(OR($B$2="Clinical Lecturer / Medical Research Fellow",$B$2="Clinical Consultant - Old Contract (GP)"),$B48&lt;&gt;""),$C48*Thresholds_Rates!$F$18,IF(AND(OR($B$2="APM Level 7",$B$2="R&amp;T Level 7"),I48&lt;&gt;""),$C48*Thresholds_Rates!$F$18,IF(SUMIF(Grades!$A:$A,$B$2,Grades!$BQ:$BQ)=1,$C48*Thresholds_Rates!$F$18,""))))))))</f>
        <v/>
      </c>
      <c r="L48" s="68"/>
      <c r="M48" s="81" t="str">
        <f t="shared" ca="1" si="0"/>
        <v/>
      </c>
      <c r="N48" s="81" t="str">
        <f t="shared" ca="1" si="1"/>
        <v/>
      </c>
      <c r="O48" s="81" t="str">
        <f t="shared" ca="1" si="2"/>
        <v/>
      </c>
      <c r="P48" s="81" t="str">
        <f t="shared" ca="1" si="3"/>
        <v/>
      </c>
      <c r="Q48" s="81" t="str">
        <f t="shared" ca="1" si="4"/>
        <v/>
      </c>
      <c r="S48" s="83" t="str">
        <f ca="1">IF(B48="","",IF($B$2="R&amp;T Level 5 - Clinical Lecturers (Vet School)",SUMIF('Points Lookup'!$V:$V,$B48,'Points Lookup'!$W:$W),IF($B$2="R&amp;T Level 6 - Clinical Associate Professors and Clinical Readers (Vet School)",SUMIF('Points Lookup'!$AC:$AC,$B48,'Points Lookup'!$AD:$AD),"")))</f>
        <v/>
      </c>
      <c r="T48" s="84" t="str">
        <f ca="1">IF(B48="","",IF($B$2="R&amp;T Level 5 - Clinical Lecturers (Vet School)",$C48-SUMIF('Points Lookup'!$V:$V,$B48,'Points Lookup'!$X:$X),IF($B$2="R&amp;T Level 6 - Clinical Associate Professors and Clinical Readers (Vet School)",$C48-SUMIF('Points Lookup'!$AC:$AC,$B48,'Points Lookup'!$AE:$AE),"")))</f>
        <v/>
      </c>
      <c r="U48" s="83" t="str">
        <f ca="1">IF(B48="","",IF($B$2="R&amp;T Level 5 - Clinical Lecturers (Vet School)",SUMIF('Points Lookup'!$V:$V,$B48,'Points Lookup'!$Z:$Z),IF($B$2="R&amp;T Level 6 - Clinical Associate Professors and Clinical Readers (Vet School)",SUMIF('Points Lookup'!$AC:$AC,$B48,'Points Lookup'!$AG:$AG),"")))</f>
        <v/>
      </c>
      <c r="V48" s="84" t="str">
        <f t="shared" ca="1" si="5"/>
        <v/>
      </c>
      <c r="AA48" s="39">
        <v>42</v>
      </c>
    </row>
    <row r="49" spans="2:27" x14ac:dyDescent="0.25">
      <c r="B49" s="68" t="str">
        <f ca="1">IFERROR(INDEX('Points Lookup'!$A:$A,MATCH($AA49,'Points Lookup'!$AN:$AN,0)),"")</f>
        <v/>
      </c>
      <c r="C49" s="81" t="str">
        <f ca="1">IF(B49="","",SUMIF(INDIRECT("'Points Lookup'!"&amp;VLOOKUP($B$2,Grades!A:BU,72,FALSE)&amp;":"&amp;VLOOKUP($B$2,Grades!A:BU,72,FALSE)),B49,INDIRECT("'Points Lookup'!"&amp;VLOOKUP($B$2,Grades!A:BU,73,FALSE)&amp;":"&amp;VLOOKUP($B$2,Grades!A:BU,73,FALSE))))</f>
        <v/>
      </c>
      <c r="D49" s="82" t="str">
        <f ca="1">IF(B49="","",IF(AND(VLOOKUP($B$2,Grades!$A:$BS,71,0)="Y",B49&lt;7),VLOOKUP($B49,Thresholds_Rates!$I$15:$J$18,2,FALSE),"-"))</f>
        <v/>
      </c>
      <c r="E49" s="81"/>
      <c r="F49" s="81" t="str">
        <f ca="1">IF($B49="","",IF(SUMIF(Grades!$A:$A,$B$2,Grades!$BO:$BO)=0,"-",IF(AND(VLOOKUP($B$2,Grades!$A:$BV,74,FALSE)="YES",B49&lt;Thresholds_Rates!$C$16),"-",$C49*Thresholds_Rates!$F$15)))</f>
        <v/>
      </c>
      <c r="G49" s="81" t="str">
        <f ca="1">IF(B49="","",IF($B$2="Salary Points 3 to 57","-",IF(SUMIF(Grades!$A:$A,$B$2,Grades!$BP:$BP)=0,"-",IF(AND(OR($B$2="New Consultant Contract"),$B49&lt;&gt;""),$C49*Thresholds_Rates!$F$16,IF(AND(OR($B$2="Clinical Lecturer / Medical Research Fellow",$B$2="Clinical Consultant - Old Contract (GP)"),$B49&lt;&gt;""),$C49*Thresholds_Rates!$F$16,IF(AND(OR($B$2="APM Level 7",$B$2="R&amp;T Level 7"),F49&lt;&gt;""),$C49*Thresholds_Rates!$F$16,IF(SUMIF(Grades!$A:$A,$B$2,Grades!$BP:$BP)=1,$C49*Thresholds_Rates!$F$16,"")))))))</f>
        <v/>
      </c>
      <c r="H49" s="81" t="str">
        <f ca="1">IF($B$2="Apprenticeship","-",IF(B49="","",IF(SUMIF(Grades!$A:$A,$B$2,Grades!$BQ:$BQ)=0,"-",IF(AND($B$2="Salary Points 3 to 57",B49&gt;Thresholds_Rates!$C$17),"-",IF(AND($B$2="Salary Points 3 to 57",B49&lt;=Thresholds_Rates!$C$17),$C49*Thresholds_Rates!$F$17,IF(AND(OR($B$2="New Consultant Contract"),$B49&lt;&gt;""),$C49*Thresholds_Rates!$F$17,IF(AND(OR($B$2="Clinical Lecturer / Medical Research Fellow",$B$2="Clinical Consultant - Old Contract (GP)"),$B49&lt;&gt;""),$C49*Thresholds_Rates!$F$17,IF(AND(OR($B$2="APM Level 7",$B$2="R&amp;T Level 7"),G49&lt;&gt;""),$C49*Thresholds_Rates!$F$17,IF(SUMIF(Grades!$A:$A,$B$2,Grades!$BQ:$BQ)=1,$C49*Thresholds_Rates!$F$17,"")))))))))</f>
        <v/>
      </c>
      <c r="I49" s="81" t="str">
        <f ca="1">IF($B49="","",IF($C49=0,0,ROUND(($C49-(Thresholds_Rates!$C$5*12))*Thresholds_Rates!$C$10,0)))</f>
        <v/>
      </c>
      <c r="J49" s="81" t="str">
        <f ca="1">IF(B49="","",(C49*Thresholds_Rates!$C$12))</f>
        <v/>
      </c>
      <c r="K49" s="81" t="str">
        <f ca="1">IF(B49="","",IF(AND($B$2="Salary Points 3 to 57",B49&gt;Thresholds_Rates!$C$17),"-",IF(SUMIF(Grades!$A:$A,$B$2,Grades!$BR:$BR)=0,"-",IF(AND($B$2="Salary Points 3 to 57",B49&lt;=Thresholds_Rates!$C$17),$C49*Thresholds_Rates!$F$18,IF(AND(OR($B$2="New Consultant Contract"),$B49&lt;&gt;""),$C49*Thresholds_Rates!$F$18,IF(AND(OR($B$2="Clinical Lecturer / Medical Research Fellow",$B$2="Clinical Consultant - Old Contract (GP)"),$B49&lt;&gt;""),$C49*Thresholds_Rates!$F$18,IF(AND(OR($B$2="APM Level 7",$B$2="R&amp;T Level 7"),I49&lt;&gt;""),$C49*Thresholds_Rates!$F$18,IF(SUMIF(Grades!$A:$A,$B$2,Grades!$BQ:$BQ)=1,$C49*Thresholds_Rates!$F$18,""))))))))</f>
        <v/>
      </c>
      <c r="L49" s="68"/>
      <c r="M49" s="81" t="str">
        <f t="shared" ca="1" si="0"/>
        <v/>
      </c>
      <c r="N49" s="81" t="str">
        <f t="shared" ca="1" si="1"/>
        <v/>
      </c>
      <c r="O49" s="81" t="str">
        <f t="shared" ca="1" si="2"/>
        <v/>
      </c>
      <c r="P49" s="81" t="str">
        <f t="shared" ca="1" si="3"/>
        <v/>
      </c>
      <c r="Q49" s="81" t="str">
        <f t="shared" ca="1" si="4"/>
        <v/>
      </c>
      <c r="S49" s="83" t="str">
        <f ca="1">IF(B49="","",IF($B$2="R&amp;T Level 5 - Clinical Lecturers (Vet School)",SUMIF('Points Lookup'!$V:$V,$B49,'Points Lookup'!$W:$W),IF($B$2="R&amp;T Level 6 - Clinical Associate Professors and Clinical Readers (Vet School)",SUMIF('Points Lookup'!$AC:$AC,$B49,'Points Lookup'!$AD:$AD),"")))</f>
        <v/>
      </c>
      <c r="T49" s="84" t="str">
        <f ca="1">IF(B49="","",IF($B$2="R&amp;T Level 5 - Clinical Lecturers (Vet School)",$C49-SUMIF('Points Lookup'!$V:$V,$B49,'Points Lookup'!$X:$X),IF($B$2="R&amp;T Level 6 - Clinical Associate Professors and Clinical Readers (Vet School)",$C49-SUMIF('Points Lookup'!$AC:$AC,$B49,'Points Lookup'!$AE:$AE),"")))</f>
        <v/>
      </c>
      <c r="U49" s="83" t="str">
        <f ca="1">IF(B49="","",IF($B$2="R&amp;T Level 5 - Clinical Lecturers (Vet School)",SUMIF('Points Lookup'!$V:$V,$B49,'Points Lookup'!$Z:$Z),IF($B$2="R&amp;T Level 6 - Clinical Associate Professors and Clinical Readers (Vet School)",SUMIF('Points Lookup'!$AC:$AC,$B49,'Points Lookup'!$AG:$AG),"")))</f>
        <v/>
      </c>
      <c r="V49" s="84" t="str">
        <f t="shared" ca="1" si="5"/>
        <v/>
      </c>
      <c r="AA49" s="39">
        <v>43</v>
      </c>
    </row>
    <row r="50" spans="2:27" x14ac:dyDescent="0.25">
      <c r="B50" s="68" t="str">
        <f ca="1">IFERROR(INDEX('Points Lookup'!$A:$A,MATCH($AA50,'Points Lookup'!$AN:$AN,0)),"")</f>
        <v/>
      </c>
      <c r="C50" s="81" t="str">
        <f ca="1">IF(B50="","",SUMIF(INDIRECT("'Points Lookup'!"&amp;VLOOKUP($B$2,Grades!A:BU,72,FALSE)&amp;":"&amp;VLOOKUP($B$2,Grades!A:BU,72,FALSE)),B50,INDIRECT("'Points Lookup'!"&amp;VLOOKUP($B$2,Grades!A:BU,73,FALSE)&amp;":"&amp;VLOOKUP($B$2,Grades!A:BU,73,FALSE))))</f>
        <v/>
      </c>
      <c r="D50" s="82" t="str">
        <f ca="1">IF(B50="","",IF(AND(VLOOKUP($B$2,Grades!$A:$BS,71,0)="Y",B50&lt;7),VLOOKUP($B50,Thresholds_Rates!$I$15:$J$18,2,FALSE),"-"))</f>
        <v/>
      </c>
      <c r="E50" s="81"/>
      <c r="F50" s="81" t="str">
        <f ca="1">IF($B50="","",IF(SUMIF(Grades!$A:$A,$B$2,Grades!$BO:$BO)=0,"-",IF(AND(VLOOKUP($B$2,Grades!$A:$BV,74,FALSE)="YES",B50&lt;Thresholds_Rates!$C$16),"-",$C50*Thresholds_Rates!$F$15)))</f>
        <v/>
      </c>
      <c r="G50" s="81" t="str">
        <f ca="1">IF(B50="","",IF($B$2="Salary Points 3 to 57","-",IF(SUMIF(Grades!$A:$A,$B$2,Grades!$BP:$BP)=0,"-",IF(AND(OR($B$2="New Consultant Contract"),$B50&lt;&gt;""),$C50*Thresholds_Rates!$F$16,IF(AND(OR($B$2="Clinical Lecturer / Medical Research Fellow",$B$2="Clinical Consultant - Old Contract (GP)"),$B50&lt;&gt;""),$C50*Thresholds_Rates!$F$16,IF(AND(OR($B$2="APM Level 7",$B$2="R&amp;T Level 7"),F50&lt;&gt;""),$C50*Thresholds_Rates!$F$16,IF(SUMIF(Grades!$A:$A,$B$2,Grades!$BP:$BP)=1,$C50*Thresholds_Rates!$F$16,"")))))))</f>
        <v/>
      </c>
      <c r="H50" s="81" t="str">
        <f ca="1">IF($B$2="Apprenticeship","-",IF(B50="","",IF(SUMIF(Grades!$A:$A,$B$2,Grades!$BQ:$BQ)=0,"-",IF(AND($B$2="Salary Points 3 to 57",B50&gt;Thresholds_Rates!$C$17),"-",IF(AND($B$2="Salary Points 3 to 57",B50&lt;=Thresholds_Rates!$C$17),$C50*Thresholds_Rates!$F$17,IF(AND(OR($B$2="New Consultant Contract"),$B50&lt;&gt;""),$C50*Thresholds_Rates!$F$17,IF(AND(OR($B$2="Clinical Lecturer / Medical Research Fellow",$B$2="Clinical Consultant - Old Contract (GP)"),$B50&lt;&gt;""),$C50*Thresholds_Rates!$F$17,IF(AND(OR($B$2="APM Level 7",$B$2="R&amp;T Level 7"),G50&lt;&gt;""),$C50*Thresholds_Rates!$F$17,IF(SUMIF(Grades!$A:$A,$B$2,Grades!$BQ:$BQ)=1,$C50*Thresholds_Rates!$F$17,"")))))))))</f>
        <v/>
      </c>
      <c r="I50" s="81" t="str">
        <f ca="1">IF($B50="","",IF($C50=0,0,ROUND(($C50-(Thresholds_Rates!$C$5*12))*Thresholds_Rates!$C$10,0)))</f>
        <v/>
      </c>
      <c r="J50" s="81" t="str">
        <f ca="1">IF(B50="","",(C50*Thresholds_Rates!$C$12))</f>
        <v/>
      </c>
      <c r="K50" s="81" t="str">
        <f ca="1">IF(B50="","",IF(AND($B$2="Salary Points 3 to 57",B50&gt;Thresholds_Rates!$C$17),"-",IF(SUMIF(Grades!$A:$A,$B$2,Grades!$BR:$BR)=0,"-",IF(AND($B$2="Salary Points 3 to 57",B50&lt;=Thresholds_Rates!$C$17),$C50*Thresholds_Rates!$F$18,IF(AND(OR($B$2="New Consultant Contract"),$B50&lt;&gt;""),$C50*Thresholds_Rates!$F$18,IF(AND(OR($B$2="Clinical Lecturer / Medical Research Fellow",$B$2="Clinical Consultant - Old Contract (GP)"),$B50&lt;&gt;""),$C50*Thresholds_Rates!$F$18,IF(AND(OR($B$2="APM Level 7",$B$2="R&amp;T Level 7"),I50&lt;&gt;""),$C50*Thresholds_Rates!$F$18,IF(SUMIF(Grades!$A:$A,$B$2,Grades!$BQ:$BQ)=1,$C50*Thresholds_Rates!$F$18,""))))))))</f>
        <v/>
      </c>
      <c r="L50" s="68"/>
      <c r="M50" s="81" t="str">
        <f t="shared" ca="1" si="0"/>
        <v/>
      </c>
      <c r="N50" s="81" t="str">
        <f t="shared" ca="1" si="1"/>
        <v/>
      </c>
      <c r="O50" s="81" t="str">
        <f t="shared" ca="1" si="2"/>
        <v/>
      </c>
      <c r="P50" s="81" t="str">
        <f t="shared" ca="1" si="3"/>
        <v/>
      </c>
      <c r="Q50" s="81" t="str">
        <f t="shared" ca="1" si="4"/>
        <v/>
      </c>
      <c r="S50" s="83" t="str">
        <f ca="1">IF(B50="","",IF($B$2="R&amp;T Level 5 - Clinical Lecturers (Vet School)",SUMIF('Points Lookup'!$V:$V,$B50,'Points Lookup'!$W:$W),IF($B$2="R&amp;T Level 6 - Clinical Associate Professors and Clinical Readers (Vet School)",SUMIF('Points Lookup'!$AC:$AC,$B50,'Points Lookup'!$AD:$AD),"")))</f>
        <v/>
      </c>
      <c r="T50" s="84" t="str">
        <f ca="1">IF(B50="","",IF($B$2="R&amp;T Level 5 - Clinical Lecturers (Vet School)",$C50-SUMIF('Points Lookup'!$V:$V,$B50,'Points Lookup'!$X:$X),IF($B$2="R&amp;T Level 6 - Clinical Associate Professors and Clinical Readers (Vet School)",$C50-SUMIF('Points Lookup'!$AC:$AC,$B50,'Points Lookup'!$AE:$AE),"")))</f>
        <v/>
      </c>
      <c r="U50" s="83" t="str">
        <f ca="1">IF(B50="","",IF($B$2="R&amp;T Level 5 - Clinical Lecturers (Vet School)",SUMIF('Points Lookup'!$V:$V,$B50,'Points Lookup'!$Z:$Z),IF($B$2="R&amp;T Level 6 - Clinical Associate Professors and Clinical Readers (Vet School)",SUMIF('Points Lookup'!$AC:$AC,$B50,'Points Lookup'!$AG:$AG),"")))</f>
        <v/>
      </c>
      <c r="V50" s="84" t="str">
        <f t="shared" ca="1" si="5"/>
        <v/>
      </c>
      <c r="AA50" s="39">
        <v>44</v>
      </c>
    </row>
    <row r="51" spans="2:27" x14ac:dyDescent="0.25">
      <c r="B51" s="68" t="str">
        <f ca="1">IFERROR(INDEX('Points Lookup'!$A:$A,MATCH($AA51,'Points Lookup'!$AN:$AN,0)),"")</f>
        <v/>
      </c>
      <c r="C51" s="81" t="str">
        <f ca="1">IF(B51="","",SUMIF(INDIRECT("'Points Lookup'!"&amp;VLOOKUP($B$2,Grades!A:BU,72,FALSE)&amp;":"&amp;VLOOKUP($B$2,Grades!A:BU,72,FALSE)),B51,INDIRECT("'Points Lookup'!"&amp;VLOOKUP($B$2,Grades!A:BU,73,FALSE)&amp;":"&amp;VLOOKUP($B$2,Grades!A:BU,73,FALSE))))</f>
        <v/>
      </c>
      <c r="D51" s="82" t="str">
        <f ca="1">IF(B51="","",IF(AND(VLOOKUP($B$2,Grades!$A:$BS,71,0)="Y",B51&lt;7),VLOOKUP($B51,Thresholds_Rates!$I$15:$J$18,2,FALSE),"-"))</f>
        <v/>
      </c>
      <c r="E51" s="81"/>
      <c r="F51" s="81" t="str">
        <f ca="1">IF($B51="","",IF(SUMIF(Grades!$A:$A,$B$2,Grades!$BO:$BO)=0,"-",IF(AND(VLOOKUP($B$2,Grades!$A:$BV,74,FALSE)="YES",B51&lt;Thresholds_Rates!$C$16),"-",$C51*Thresholds_Rates!$F$15)))</f>
        <v/>
      </c>
      <c r="G51" s="81" t="str">
        <f ca="1">IF(B51="","",IF($B$2="Salary Points 3 to 57","-",IF(SUMIF(Grades!$A:$A,$B$2,Grades!$BP:$BP)=0,"-",IF(AND(OR($B$2="New Consultant Contract"),$B51&lt;&gt;""),$C51*Thresholds_Rates!$F$16,IF(AND(OR($B$2="Clinical Lecturer / Medical Research Fellow",$B$2="Clinical Consultant - Old Contract (GP)"),$B51&lt;&gt;""),$C51*Thresholds_Rates!$F$16,IF(AND(OR($B$2="APM Level 7",$B$2="R&amp;T Level 7"),F51&lt;&gt;""),$C51*Thresholds_Rates!$F$16,IF(SUMIF(Grades!$A:$A,$B$2,Grades!$BP:$BP)=1,$C51*Thresholds_Rates!$F$16,"")))))))</f>
        <v/>
      </c>
      <c r="H51" s="81" t="str">
        <f ca="1">IF($B$2="Apprenticeship","-",IF(B51="","",IF(SUMIF(Grades!$A:$A,$B$2,Grades!$BQ:$BQ)=0,"-",IF(AND($B$2="Salary Points 3 to 57",B51&gt;Thresholds_Rates!$C$17),"-",IF(AND($B$2="Salary Points 3 to 57",B51&lt;=Thresholds_Rates!$C$17),$C51*Thresholds_Rates!$F$17,IF(AND(OR($B$2="New Consultant Contract"),$B51&lt;&gt;""),$C51*Thresholds_Rates!$F$17,IF(AND(OR($B$2="Clinical Lecturer / Medical Research Fellow",$B$2="Clinical Consultant - Old Contract (GP)"),$B51&lt;&gt;""),$C51*Thresholds_Rates!$F$17,IF(AND(OR($B$2="APM Level 7",$B$2="R&amp;T Level 7"),G51&lt;&gt;""),$C51*Thresholds_Rates!$F$17,IF(SUMIF(Grades!$A:$A,$B$2,Grades!$BQ:$BQ)=1,$C51*Thresholds_Rates!$F$17,"")))))))))</f>
        <v/>
      </c>
      <c r="I51" s="81" t="str">
        <f ca="1">IF($B51="","",IF($C51=0,0,ROUND(($C51-(Thresholds_Rates!$C$5*12))*Thresholds_Rates!$C$10,0)))</f>
        <v/>
      </c>
      <c r="J51" s="81" t="str">
        <f ca="1">IF(B51="","",(C51*Thresholds_Rates!$C$12))</f>
        <v/>
      </c>
      <c r="K51" s="81" t="str">
        <f ca="1">IF(B51="","",IF(AND($B$2="Salary Points 3 to 57",B51&gt;Thresholds_Rates!$C$17),"-",IF(SUMIF(Grades!$A:$A,$B$2,Grades!$BR:$BR)=0,"-",IF(AND($B$2="Salary Points 3 to 57",B51&lt;=Thresholds_Rates!$C$17),$C51*Thresholds_Rates!$F$18,IF(AND(OR($B$2="New Consultant Contract"),$B51&lt;&gt;""),$C51*Thresholds_Rates!$F$18,IF(AND(OR($B$2="Clinical Lecturer / Medical Research Fellow",$B$2="Clinical Consultant - Old Contract (GP)"),$B51&lt;&gt;""),$C51*Thresholds_Rates!$F$18,IF(AND(OR($B$2="APM Level 7",$B$2="R&amp;T Level 7"),I51&lt;&gt;""),$C51*Thresholds_Rates!$F$18,IF(SUMIF(Grades!$A:$A,$B$2,Grades!$BQ:$BQ)=1,$C51*Thresholds_Rates!$F$18,""))))))))</f>
        <v/>
      </c>
      <c r="L51" s="68"/>
      <c r="M51" s="81" t="str">
        <f t="shared" ca="1" si="0"/>
        <v/>
      </c>
      <c r="N51" s="81" t="str">
        <f t="shared" ca="1" si="1"/>
        <v/>
      </c>
      <c r="O51" s="81" t="str">
        <f t="shared" ca="1" si="2"/>
        <v/>
      </c>
      <c r="P51" s="81" t="str">
        <f t="shared" ca="1" si="3"/>
        <v/>
      </c>
      <c r="Q51" s="81" t="str">
        <f t="shared" ca="1" si="4"/>
        <v/>
      </c>
      <c r="S51" s="83" t="str">
        <f ca="1">IF(B51="","",IF($B$2="R&amp;T Level 5 - Clinical Lecturers (Vet School)",SUMIF('Points Lookup'!$V:$V,$B51,'Points Lookup'!$W:$W),IF($B$2="R&amp;T Level 6 - Clinical Associate Professors and Clinical Readers (Vet School)",SUMIF('Points Lookup'!$AC:$AC,$B51,'Points Lookup'!$AD:$AD),"")))</f>
        <v/>
      </c>
      <c r="T51" s="84" t="str">
        <f ca="1">IF(B51="","",IF($B$2="R&amp;T Level 5 - Clinical Lecturers (Vet School)",$C51-SUMIF('Points Lookup'!$V:$V,$B51,'Points Lookup'!$X:$X),IF($B$2="R&amp;T Level 6 - Clinical Associate Professors and Clinical Readers (Vet School)",$C51-SUMIF('Points Lookup'!$AC:$AC,$B51,'Points Lookup'!$AE:$AE),"")))</f>
        <v/>
      </c>
      <c r="U51" s="83" t="str">
        <f ca="1">IF(B51="","",IF($B$2="R&amp;T Level 5 - Clinical Lecturers (Vet School)",SUMIF('Points Lookup'!$V:$V,$B51,'Points Lookup'!$Z:$Z),IF($B$2="R&amp;T Level 6 - Clinical Associate Professors and Clinical Readers (Vet School)",SUMIF('Points Lookup'!$AC:$AC,$B51,'Points Lookup'!$AG:$AG),"")))</f>
        <v/>
      </c>
      <c r="V51" s="84" t="str">
        <f t="shared" ca="1" si="5"/>
        <v/>
      </c>
      <c r="AA51" s="39">
        <v>45</v>
      </c>
    </row>
    <row r="52" spans="2:27" x14ac:dyDescent="0.25">
      <c r="B52" s="68" t="str">
        <f ca="1">IFERROR(INDEX('Points Lookup'!$A:$A,MATCH($AA52,'Points Lookup'!$AN:$AN,0)),"")</f>
        <v/>
      </c>
      <c r="C52" s="81" t="str">
        <f ca="1">IF(B52="","",SUMIF(INDIRECT("'Points Lookup'!"&amp;VLOOKUP($B$2,Grades!A:BU,72,FALSE)&amp;":"&amp;VLOOKUP($B$2,Grades!A:BU,72,FALSE)),B52,INDIRECT("'Points Lookup'!"&amp;VLOOKUP($B$2,Grades!A:BU,73,FALSE)&amp;":"&amp;VLOOKUP($B$2,Grades!A:BU,73,FALSE))))</f>
        <v/>
      </c>
      <c r="D52" s="82" t="str">
        <f ca="1">IF(B52="","",IF(AND(VLOOKUP($B$2,Grades!$A:$BS,71,0)="Y",B52&lt;7),VLOOKUP($B52,Thresholds_Rates!$I$15:$J$18,2,FALSE),"-"))</f>
        <v/>
      </c>
      <c r="E52" s="81"/>
      <c r="F52" s="81" t="str">
        <f ca="1">IF($B52="","",IF(SUMIF(Grades!$A:$A,$B$2,Grades!$BO:$BO)=0,"-",IF(AND(VLOOKUP($B$2,Grades!$A:$BV,74,FALSE)="YES",B52&lt;Thresholds_Rates!$C$16),"-",$C52*Thresholds_Rates!$F$15)))</f>
        <v/>
      </c>
      <c r="G52" s="81" t="str">
        <f ca="1">IF(B52="","",IF($B$2="Salary Points 3 to 57","-",IF(SUMIF(Grades!$A:$A,$B$2,Grades!$BP:$BP)=0,"-",IF(AND(OR($B$2="New Consultant Contract"),$B52&lt;&gt;""),$C52*Thresholds_Rates!$F$16,IF(AND(OR($B$2="Clinical Lecturer / Medical Research Fellow",$B$2="Clinical Consultant - Old Contract (GP)"),$B52&lt;&gt;""),$C52*Thresholds_Rates!$F$16,IF(AND(OR($B$2="APM Level 7",$B$2="R&amp;T Level 7"),F52&lt;&gt;""),$C52*Thresholds_Rates!$F$16,IF(SUMIF(Grades!$A:$A,$B$2,Grades!$BP:$BP)=1,$C52*Thresholds_Rates!$F$16,"")))))))</f>
        <v/>
      </c>
      <c r="H52" s="81" t="str">
        <f ca="1">IF($B$2="Apprenticeship","-",IF(B52="","",IF(SUMIF(Grades!$A:$A,$B$2,Grades!$BQ:$BQ)=0,"-",IF(AND($B$2="Salary Points 3 to 57",B52&gt;Thresholds_Rates!$C$17),"-",IF(AND($B$2="Salary Points 3 to 57",B52&lt;=Thresholds_Rates!$C$17),$C52*Thresholds_Rates!$F$17,IF(AND(OR($B$2="New Consultant Contract"),$B52&lt;&gt;""),$C52*Thresholds_Rates!$F$17,IF(AND(OR($B$2="Clinical Lecturer / Medical Research Fellow",$B$2="Clinical Consultant - Old Contract (GP)"),$B52&lt;&gt;""),$C52*Thresholds_Rates!$F$17,IF(AND(OR($B$2="APM Level 7",$B$2="R&amp;T Level 7"),G52&lt;&gt;""),$C52*Thresholds_Rates!$F$17,IF(SUMIF(Grades!$A:$A,$B$2,Grades!$BQ:$BQ)=1,$C52*Thresholds_Rates!$F$17,"")))))))))</f>
        <v/>
      </c>
      <c r="I52" s="81" t="str">
        <f ca="1">IF($B52="","",IF($C52=0,0,ROUND(($C52-(Thresholds_Rates!$C$5*12))*Thresholds_Rates!$C$10,0)))</f>
        <v/>
      </c>
      <c r="J52" s="81" t="str">
        <f ca="1">IF(B52="","",(C52*Thresholds_Rates!$C$12))</f>
        <v/>
      </c>
      <c r="K52" s="81" t="str">
        <f ca="1">IF(B52="","",IF(AND($B$2="Salary Points 3 to 57",B52&gt;Thresholds_Rates!$C$17),"-",IF(SUMIF(Grades!$A:$A,$B$2,Grades!$BR:$BR)=0,"-",IF(AND($B$2="Salary Points 3 to 57",B52&lt;=Thresholds_Rates!$C$17),$C52*Thresholds_Rates!$F$18,IF(AND(OR($B$2="New Consultant Contract"),$B52&lt;&gt;""),$C52*Thresholds_Rates!$F$18,IF(AND(OR($B$2="Clinical Lecturer / Medical Research Fellow",$B$2="Clinical Consultant - Old Contract (GP)"),$B52&lt;&gt;""),$C52*Thresholds_Rates!$F$18,IF(AND(OR($B$2="APM Level 7",$B$2="R&amp;T Level 7"),I52&lt;&gt;""),$C52*Thresholds_Rates!$F$18,IF(SUMIF(Grades!$A:$A,$B$2,Grades!$BQ:$BQ)=1,$C52*Thresholds_Rates!$F$18,""))))))))</f>
        <v/>
      </c>
      <c r="L52" s="68"/>
      <c r="M52" s="81" t="str">
        <f t="shared" ca="1" si="0"/>
        <v/>
      </c>
      <c r="N52" s="81" t="str">
        <f t="shared" ca="1" si="1"/>
        <v/>
      </c>
      <c r="O52" s="81" t="str">
        <f t="shared" ca="1" si="2"/>
        <v/>
      </c>
      <c r="P52" s="81" t="str">
        <f t="shared" ca="1" si="3"/>
        <v/>
      </c>
      <c r="Q52" s="81" t="str">
        <f t="shared" ca="1" si="4"/>
        <v/>
      </c>
      <c r="S52" s="83" t="str">
        <f ca="1">IF(B52="","",IF($B$2="R&amp;T Level 5 - Clinical Lecturers (Vet School)",SUMIF('Points Lookup'!$V:$V,$B52,'Points Lookup'!$W:$W),IF($B$2="R&amp;T Level 6 - Clinical Associate Professors and Clinical Readers (Vet School)",SUMIF('Points Lookup'!$AC:$AC,$B52,'Points Lookup'!$AD:$AD),"")))</f>
        <v/>
      </c>
      <c r="T52" s="84" t="str">
        <f ca="1">IF(B52="","",IF($B$2="R&amp;T Level 5 - Clinical Lecturers (Vet School)",$C52-SUMIF('Points Lookup'!$V:$V,$B52,'Points Lookup'!$X:$X),IF($B$2="R&amp;T Level 6 - Clinical Associate Professors and Clinical Readers (Vet School)",$C52-SUMIF('Points Lookup'!$AC:$AC,$B52,'Points Lookup'!$AE:$AE),"")))</f>
        <v/>
      </c>
      <c r="U52" s="83" t="str">
        <f ca="1">IF(B52="","",IF($B$2="R&amp;T Level 5 - Clinical Lecturers (Vet School)",SUMIF('Points Lookup'!$V:$V,$B52,'Points Lookup'!$Z:$Z),IF($B$2="R&amp;T Level 6 - Clinical Associate Professors and Clinical Readers (Vet School)",SUMIF('Points Lookup'!$AC:$AC,$B52,'Points Lookup'!$AG:$AG),"")))</f>
        <v/>
      </c>
      <c r="V52" s="84" t="str">
        <f t="shared" ca="1" si="5"/>
        <v/>
      </c>
      <c r="AA52" s="39">
        <v>46</v>
      </c>
    </row>
    <row r="53" spans="2:27" x14ac:dyDescent="0.25">
      <c r="B53" s="68" t="str">
        <f ca="1">IFERROR(INDEX('Points Lookup'!$A:$A,MATCH($AA53,'Points Lookup'!$AN:$AN,0)),"")</f>
        <v/>
      </c>
      <c r="C53" s="81" t="str">
        <f ca="1">IF(B53="","",SUMIF(INDIRECT("'Points Lookup'!"&amp;VLOOKUP($B$2,Grades!A:BU,72,FALSE)&amp;":"&amp;VLOOKUP($B$2,Grades!A:BU,72,FALSE)),B53,INDIRECT("'Points Lookup'!"&amp;VLOOKUP($B$2,Grades!A:BU,73,FALSE)&amp;":"&amp;VLOOKUP($B$2,Grades!A:BU,73,FALSE))))</f>
        <v/>
      </c>
      <c r="D53" s="82" t="str">
        <f ca="1">IF(B53="","",IF(AND(VLOOKUP($B$2,Grades!$A:$BS,71,0)="Y",B53&lt;7),VLOOKUP($B53,Thresholds_Rates!$I$15:$J$18,2,FALSE),"-"))</f>
        <v/>
      </c>
      <c r="E53" s="81"/>
      <c r="F53" s="81" t="str">
        <f ca="1">IF($B53="","",IF(SUMIF(Grades!$A:$A,$B$2,Grades!$BO:$BO)=0,"-",IF(AND(VLOOKUP($B$2,Grades!$A:$BV,74,FALSE)="YES",B53&lt;Thresholds_Rates!$C$16),"-",$C53*Thresholds_Rates!$F$15)))</f>
        <v/>
      </c>
      <c r="G53" s="81" t="str">
        <f ca="1">IF(B53="","",IF($B$2="Salary Points 3 to 57","-",IF(SUMIF(Grades!$A:$A,$B$2,Grades!$BP:$BP)=0,"-",IF(AND(OR($B$2="New Consultant Contract"),$B53&lt;&gt;""),$C53*Thresholds_Rates!$F$16,IF(AND(OR($B$2="Clinical Lecturer / Medical Research Fellow",$B$2="Clinical Consultant - Old Contract (GP)"),$B53&lt;&gt;""),$C53*Thresholds_Rates!$F$16,IF(AND(OR($B$2="APM Level 7",$B$2="R&amp;T Level 7"),F53&lt;&gt;""),$C53*Thresholds_Rates!$F$16,IF(SUMIF(Grades!$A:$A,$B$2,Grades!$BP:$BP)=1,$C53*Thresholds_Rates!$F$16,"")))))))</f>
        <v/>
      </c>
      <c r="H53" s="81" t="str">
        <f ca="1">IF($B$2="Apprenticeship","-",IF(B53="","",IF(SUMIF(Grades!$A:$A,$B$2,Grades!$BQ:$BQ)=0,"-",IF(AND($B$2="Salary Points 3 to 57",B53&gt;Thresholds_Rates!$C$17),"-",IF(AND($B$2="Salary Points 3 to 57",B53&lt;=Thresholds_Rates!$C$17),$C53*Thresholds_Rates!$F$17,IF(AND(OR($B$2="New Consultant Contract"),$B53&lt;&gt;""),$C53*Thresholds_Rates!$F$17,IF(AND(OR($B$2="Clinical Lecturer / Medical Research Fellow",$B$2="Clinical Consultant - Old Contract (GP)"),$B53&lt;&gt;""),$C53*Thresholds_Rates!$F$17,IF(AND(OR($B$2="APM Level 7",$B$2="R&amp;T Level 7"),G53&lt;&gt;""),$C53*Thresholds_Rates!$F$17,IF(SUMIF(Grades!$A:$A,$B$2,Grades!$BQ:$BQ)=1,$C53*Thresholds_Rates!$F$17,"")))))))))</f>
        <v/>
      </c>
      <c r="I53" s="81" t="str">
        <f ca="1">IF($B53="","",IF($C53=0,0,ROUND(($C53-(Thresholds_Rates!$C$5*12))*Thresholds_Rates!$C$10,0)))</f>
        <v/>
      </c>
      <c r="J53" s="81" t="str">
        <f ca="1">IF(B53="","",(C53*Thresholds_Rates!$C$12))</f>
        <v/>
      </c>
      <c r="K53" s="81" t="str">
        <f ca="1">IF(B53="","",IF(AND($B$2="Salary Points 3 to 57",B53&gt;Thresholds_Rates!$C$17),"-",IF(SUMIF(Grades!$A:$A,$B$2,Grades!$BR:$BR)=0,"-",IF(AND($B$2="Salary Points 3 to 57",B53&lt;=Thresholds_Rates!$C$17),$C53*Thresholds_Rates!$F$18,IF(AND(OR($B$2="New Consultant Contract"),$B53&lt;&gt;""),$C53*Thresholds_Rates!$F$18,IF(AND(OR($B$2="Clinical Lecturer / Medical Research Fellow",$B$2="Clinical Consultant - Old Contract (GP)"),$B53&lt;&gt;""),$C53*Thresholds_Rates!$F$18,IF(AND(OR($B$2="APM Level 7",$B$2="R&amp;T Level 7"),I53&lt;&gt;""),$C53*Thresholds_Rates!$F$18,IF(SUMIF(Grades!$A:$A,$B$2,Grades!$BQ:$BQ)=1,$C53*Thresholds_Rates!$F$18,""))))))))</f>
        <v/>
      </c>
      <c r="L53" s="68"/>
      <c r="M53" s="81" t="str">
        <f t="shared" ca="1" si="0"/>
        <v/>
      </c>
      <c r="N53" s="81" t="str">
        <f t="shared" ca="1" si="1"/>
        <v/>
      </c>
      <c r="O53" s="81" t="str">
        <f t="shared" ca="1" si="2"/>
        <v/>
      </c>
      <c r="P53" s="81" t="str">
        <f t="shared" ca="1" si="3"/>
        <v/>
      </c>
      <c r="Q53" s="81" t="str">
        <f t="shared" ca="1" si="4"/>
        <v/>
      </c>
      <c r="S53" s="83" t="str">
        <f ca="1">IF(B53="","",IF($B$2="R&amp;T Level 5 - Clinical Lecturers (Vet School)",SUMIF('Points Lookup'!$V:$V,$B53,'Points Lookup'!$W:$W),IF($B$2="R&amp;T Level 6 - Clinical Associate Professors and Clinical Readers (Vet School)",SUMIF('Points Lookup'!$AC:$AC,$B53,'Points Lookup'!$AD:$AD),"")))</f>
        <v/>
      </c>
      <c r="T53" s="84" t="str">
        <f ca="1">IF(B53="","",IF($B$2="R&amp;T Level 5 - Clinical Lecturers (Vet School)",$C53-SUMIF('Points Lookup'!$V:$V,$B53,'Points Lookup'!$X:$X),IF($B$2="R&amp;T Level 6 - Clinical Associate Professors and Clinical Readers (Vet School)",$C53-SUMIF('Points Lookup'!$AC:$AC,$B53,'Points Lookup'!$AE:$AE),"")))</f>
        <v/>
      </c>
      <c r="U53" s="83" t="str">
        <f ca="1">IF(B53="","",IF($B$2="R&amp;T Level 5 - Clinical Lecturers (Vet School)",SUMIF('Points Lookup'!$V:$V,$B53,'Points Lookup'!$Z:$Z),IF($B$2="R&amp;T Level 6 - Clinical Associate Professors and Clinical Readers (Vet School)",SUMIF('Points Lookup'!$AC:$AC,$B53,'Points Lookup'!$AG:$AG),"")))</f>
        <v/>
      </c>
      <c r="V53" s="84" t="str">
        <f t="shared" ca="1" si="5"/>
        <v/>
      </c>
      <c r="AA53" s="39">
        <v>47</v>
      </c>
    </row>
    <row r="54" spans="2:27" x14ac:dyDescent="0.25">
      <c r="B54" s="68" t="str">
        <f ca="1">IFERROR(INDEX('Points Lookup'!$A:$A,MATCH($AA54,'Points Lookup'!$AN:$AN,0)),"")</f>
        <v/>
      </c>
      <c r="C54" s="81" t="str">
        <f ca="1">IF(B54="","",SUMIF(INDIRECT("'Points Lookup'!"&amp;VLOOKUP($B$2,Grades!A:BU,72,FALSE)&amp;":"&amp;VLOOKUP($B$2,Grades!A:BU,72,FALSE)),B54,INDIRECT("'Points Lookup'!"&amp;VLOOKUP($B$2,Grades!A:BU,73,FALSE)&amp;":"&amp;VLOOKUP($B$2,Grades!A:BU,73,FALSE))))</f>
        <v/>
      </c>
      <c r="D54" s="82" t="str">
        <f ca="1">IF(B54="","",IF(AND(VLOOKUP($B$2,Grades!$A:$BS,71,0)="Y",B54&lt;7),VLOOKUP($B54,Thresholds_Rates!$I$15:$J$18,2,FALSE),"-"))</f>
        <v/>
      </c>
      <c r="E54" s="81"/>
      <c r="F54" s="81" t="str">
        <f ca="1">IF($B54="","",IF(SUMIF(Grades!$A:$A,$B$2,Grades!$BO:$BO)=0,"-",IF(AND(VLOOKUP($B$2,Grades!$A:$BV,74,FALSE)="YES",B54&lt;Thresholds_Rates!$C$16),"-",$C54*Thresholds_Rates!$F$15)))</f>
        <v/>
      </c>
      <c r="G54" s="81" t="str">
        <f ca="1">IF(B54="","",IF($B$2="Salary Points 3 to 57","-",IF(SUMIF(Grades!$A:$A,$B$2,Grades!$BP:$BP)=0,"-",IF(AND(OR($B$2="New Consultant Contract"),$B54&lt;&gt;""),$C54*Thresholds_Rates!$F$16,IF(AND(OR($B$2="Clinical Lecturer / Medical Research Fellow",$B$2="Clinical Consultant - Old Contract (GP)"),$B54&lt;&gt;""),$C54*Thresholds_Rates!$F$16,IF(AND(OR($B$2="APM Level 7",$B$2="R&amp;T Level 7"),F54&lt;&gt;""),$C54*Thresholds_Rates!$F$16,IF(SUMIF(Grades!$A:$A,$B$2,Grades!$BP:$BP)=1,$C54*Thresholds_Rates!$F$16,"")))))))</f>
        <v/>
      </c>
      <c r="H54" s="81" t="str">
        <f ca="1">IF($B$2="Apprenticeship","-",IF(B54="","",IF(SUMIF(Grades!$A:$A,$B$2,Grades!$BQ:$BQ)=0,"-",IF(AND($B$2="Salary Points 3 to 57",B54&gt;Thresholds_Rates!$C$17),"-",IF(AND($B$2="Salary Points 3 to 57",B54&lt;=Thresholds_Rates!$C$17),$C54*Thresholds_Rates!$F$17,IF(AND(OR($B$2="New Consultant Contract"),$B54&lt;&gt;""),$C54*Thresholds_Rates!$F$17,IF(AND(OR($B$2="Clinical Lecturer / Medical Research Fellow",$B$2="Clinical Consultant - Old Contract (GP)"),$B54&lt;&gt;""),$C54*Thresholds_Rates!$F$17,IF(AND(OR($B$2="APM Level 7",$B$2="R&amp;T Level 7"),G54&lt;&gt;""),$C54*Thresholds_Rates!$F$17,IF(SUMIF(Grades!$A:$A,$B$2,Grades!$BQ:$BQ)=1,$C54*Thresholds_Rates!$F$17,"")))))))))</f>
        <v/>
      </c>
      <c r="I54" s="81" t="str">
        <f ca="1">IF($B54="","",IF($C54=0,0,ROUND(($C54-(Thresholds_Rates!$C$5*12))*Thresholds_Rates!$C$10,0)))</f>
        <v/>
      </c>
      <c r="J54" s="81" t="str">
        <f ca="1">IF(B54="","",(C54*Thresholds_Rates!$C$12))</f>
        <v/>
      </c>
      <c r="K54" s="81" t="str">
        <f ca="1">IF(B54="","",IF(AND($B$2="Salary Points 3 to 57",B54&gt;Thresholds_Rates!$C$17),"-",IF(SUMIF(Grades!$A:$A,$B$2,Grades!$BR:$BR)=0,"-",IF(AND($B$2="Salary Points 3 to 57",B54&lt;=Thresholds_Rates!$C$17),$C54*Thresholds_Rates!$F$18,IF(AND(OR($B$2="New Consultant Contract"),$B54&lt;&gt;""),$C54*Thresholds_Rates!$F$18,IF(AND(OR($B$2="Clinical Lecturer / Medical Research Fellow",$B$2="Clinical Consultant - Old Contract (GP)"),$B54&lt;&gt;""),$C54*Thresholds_Rates!$F$18,IF(AND(OR($B$2="APM Level 7",$B$2="R&amp;T Level 7"),I54&lt;&gt;""),$C54*Thresholds_Rates!$F$18,IF(SUMIF(Grades!$A:$A,$B$2,Grades!$BQ:$BQ)=1,$C54*Thresholds_Rates!$F$18,""))))))))</f>
        <v/>
      </c>
      <c r="L54" s="68"/>
      <c r="M54" s="81" t="str">
        <f t="shared" ca="1" si="0"/>
        <v/>
      </c>
      <c r="N54" s="81" t="str">
        <f t="shared" ca="1" si="1"/>
        <v/>
      </c>
      <c r="O54" s="81" t="str">
        <f t="shared" ca="1" si="2"/>
        <v/>
      </c>
      <c r="P54" s="81" t="str">
        <f t="shared" ca="1" si="3"/>
        <v/>
      </c>
      <c r="Q54" s="81" t="str">
        <f t="shared" ca="1" si="4"/>
        <v/>
      </c>
      <c r="S54" s="83" t="str">
        <f ca="1">IF(B54="","",IF($B$2="R&amp;T Level 5 - Clinical Lecturers (Vet School)",SUMIF('Points Lookup'!$V:$V,$B54,'Points Lookup'!$W:$W),IF($B$2="R&amp;T Level 6 - Clinical Associate Professors and Clinical Readers (Vet School)",SUMIF('Points Lookup'!$AC:$AC,$B54,'Points Lookup'!$AD:$AD),"")))</f>
        <v/>
      </c>
      <c r="T54" s="84" t="str">
        <f ca="1">IF(B54="","",IF($B$2="R&amp;T Level 5 - Clinical Lecturers (Vet School)",$C54-SUMIF('Points Lookup'!$V:$V,$B54,'Points Lookup'!$X:$X),IF($B$2="R&amp;T Level 6 - Clinical Associate Professors and Clinical Readers (Vet School)",$C54-SUMIF('Points Lookup'!$AC:$AC,$B54,'Points Lookup'!$AE:$AE),"")))</f>
        <v/>
      </c>
      <c r="U54" s="83" t="str">
        <f ca="1">IF(B54="","",IF($B$2="R&amp;T Level 5 - Clinical Lecturers (Vet School)",SUMIF('Points Lookup'!$V:$V,$B54,'Points Lookup'!$Z:$Z),IF($B$2="R&amp;T Level 6 - Clinical Associate Professors and Clinical Readers (Vet School)",SUMIF('Points Lookup'!$AC:$AC,$B54,'Points Lookup'!$AG:$AG),"")))</f>
        <v/>
      </c>
      <c r="V54" s="84" t="str">
        <f t="shared" ca="1" si="5"/>
        <v/>
      </c>
      <c r="AA54" s="39">
        <v>48</v>
      </c>
    </row>
    <row r="55" spans="2:27" x14ac:dyDescent="0.25">
      <c r="B55" s="68" t="str">
        <f ca="1">IFERROR(INDEX('Points Lookup'!$A:$A,MATCH($AA55,'Points Lookup'!$AN:$AN,0)),"")</f>
        <v/>
      </c>
      <c r="C55" s="81" t="str">
        <f ca="1">IF(B55="","",SUMIF(INDIRECT("'Points Lookup'!"&amp;VLOOKUP($B$2,Grades!A:BU,72,FALSE)&amp;":"&amp;VLOOKUP($B$2,Grades!A:BU,72,FALSE)),B55,INDIRECT("'Points Lookup'!"&amp;VLOOKUP($B$2,Grades!A:BU,73,FALSE)&amp;":"&amp;VLOOKUP($B$2,Grades!A:BU,73,FALSE))))</f>
        <v/>
      </c>
      <c r="D55" s="82" t="str">
        <f ca="1">IF(B55="","",IF(AND(VLOOKUP($B$2,Grades!$A:$BS,71,0)="Y",B55&lt;7),VLOOKUP($B55,Thresholds_Rates!$I$15:$J$18,2,FALSE),"-"))</f>
        <v/>
      </c>
      <c r="E55" s="81"/>
      <c r="F55" s="81" t="str">
        <f ca="1">IF($B55="","",IF(SUMIF(Grades!$A:$A,$B$2,Grades!$BO:$BO)=0,"-",IF(AND(VLOOKUP($B$2,Grades!$A:$BV,74,FALSE)="YES",B55&lt;Thresholds_Rates!$C$16),"-",$C55*Thresholds_Rates!$F$15)))</f>
        <v/>
      </c>
      <c r="G55" s="81" t="str">
        <f ca="1">IF(B55="","",IF($B$2="Salary Points 3 to 57","-",IF(SUMIF(Grades!$A:$A,$B$2,Grades!$BP:$BP)=0,"-",IF(AND(OR($B$2="New Consultant Contract"),$B55&lt;&gt;""),$C55*Thresholds_Rates!$F$16,IF(AND(OR($B$2="Clinical Lecturer / Medical Research Fellow",$B$2="Clinical Consultant - Old Contract (GP)"),$B55&lt;&gt;""),$C55*Thresholds_Rates!$F$16,IF(AND(OR($B$2="APM Level 7",$B$2="R&amp;T Level 7"),F55&lt;&gt;""),$C55*Thresholds_Rates!$F$16,IF(SUMIF(Grades!$A:$A,$B$2,Grades!$BP:$BP)=1,$C55*Thresholds_Rates!$F$16,"")))))))</f>
        <v/>
      </c>
      <c r="H55" s="81" t="str">
        <f ca="1">IF($B$2="Apprenticeship","-",IF(B55="","",IF(SUMIF(Grades!$A:$A,$B$2,Grades!$BQ:$BQ)=0,"-",IF(AND($B$2="Salary Points 3 to 57",B55&gt;Thresholds_Rates!$C$17),"-",IF(AND($B$2="Salary Points 3 to 57",B55&lt;=Thresholds_Rates!$C$17),$C55*Thresholds_Rates!$F$17,IF(AND(OR($B$2="New Consultant Contract"),$B55&lt;&gt;""),$C55*Thresholds_Rates!$F$17,IF(AND(OR($B$2="Clinical Lecturer / Medical Research Fellow",$B$2="Clinical Consultant - Old Contract (GP)"),$B55&lt;&gt;""),$C55*Thresholds_Rates!$F$17,IF(AND(OR($B$2="APM Level 7",$B$2="R&amp;T Level 7"),G55&lt;&gt;""),$C55*Thresholds_Rates!$F$17,IF(SUMIF(Grades!$A:$A,$B$2,Grades!$BQ:$BQ)=1,$C55*Thresholds_Rates!$F$17,"")))))))))</f>
        <v/>
      </c>
      <c r="I55" s="81" t="str">
        <f ca="1">IF($B55="","",IF($C55=0,0,ROUND(($C55-(Thresholds_Rates!$C$5*12))*Thresholds_Rates!$C$10,0)))</f>
        <v/>
      </c>
      <c r="J55" s="81" t="str">
        <f ca="1">IF(B55="","",(C55*Thresholds_Rates!$C$12))</f>
        <v/>
      </c>
      <c r="K55" s="81" t="str">
        <f ca="1">IF(B55="","",IF(AND($B$2="Salary Points 3 to 57",B55&gt;Thresholds_Rates!$C$17),"-",IF(SUMIF(Grades!$A:$A,$B$2,Grades!$BR:$BR)=0,"-",IF(AND($B$2="Salary Points 3 to 57",B55&lt;=Thresholds_Rates!$C$17),$C55*Thresholds_Rates!$F$18,IF(AND(OR($B$2="New Consultant Contract"),$B55&lt;&gt;""),$C55*Thresholds_Rates!$F$18,IF(AND(OR($B$2="Clinical Lecturer / Medical Research Fellow",$B$2="Clinical Consultant - Old Contract (GP)"),$B55&lt;&gt;""),$C55*Thresholds_Rates!$F$18,IF(AND(OR($B$2="APM Level 7",$B$2="R&amp;T Level 7"),I55&lt;&gt;""),$C55*Thresholds_Rates!$F$18,IF(SUMIF(Grades!$A:$A,$B$2,Grades!$BQ:$BQ)=1,$C55*Thresholds_Rates!$F$18,""))))))))</f>
        <v/>
      </c>
      <c r="L55" s="68"/>
      <c r="M55" s="81" t="str">
        <f t="shared" ca="1" si="0"/>
        <v/>
      </c>
      <c r="N55" s="81" t="str">
        <f t="shared" ca="1" si="1"/>
        <v/>
      </c>
      <c r="O55" s="81" t="str">
        <f t="shared" ca="1" si="2"/>
        <v/>
      </c>
      <c r="P55" s="81" t="str">
        <f t="shared" ca="1" si="3"/>
        <v/>
      </c>
      <c r="Q55" s="81" t="str">
        <f t="shared" ca="1" si="4"/>
        <v/>
      </c>
      <c r="S55" s="83" t="str">
        <f ca="1">IF(B55="","",IF($B$2="R&amp;T Level 5 - Clinical Lecturers (Vet School)",SUMIF('Points Lookup'!$V:$V,$B55,'Points Lookup'!$W:$W),IF($B$2="R&amp;T Level 6 - Clinical Associate Professors and Clinical Readers (Vet School)",SUMIF('Points Lookup'!$AC:$AC,$B55,'Points Lookup'!$AD:$AD),"")))</f>
        <v/>
      </c>
      <c r="T55" s="84" t="str">
        <f ca="1">IF(B55="","",IF($B$2="R&amp;T Level 5 - Clinical Lecturers (Vet School)",$C55-SUMIF('Points Lookup'!$V:$V,$B55,'Points Lookup'!$X:$X),IF($B$2="R&amp;T Level 6 - Clinical Associate Professors and Clinical Readers (Vet School)",$C55-SUMIF('Points Lookup'!$AC:$AC,$B55,'Points Lookup'!$AE:$AE),"")))</f>
        <v/>
      </c>
      <c r="U55" s="83" t="str">
        <f ca="1">IF(B55="","",IF($B$2="R&amp;T Level 5 - Clinical Lecturers (Vet School)",SUMIF('Points Lookup'!$V:$V,$B55,'Points Lookup'!$Z:$Z),IF($B$2="R&amp;T Level 6 - Clinical Associate Professors and Clinical Readers (Vet School)",SUMIF('Points Lookup'!$AC:$AC,$B55,'Points Lookup'!$AG:$AG),"")))</f>
        <v/>
      </c>
      <c r="V55" s="84" t="str">
        <f t="shared" ca="1" si="5"/>
        <v/>
      </c>
      <c r="AA55" s="39">
        <v>49</v>
      </c>
    </row>
    <row r="56" spans="2:27" x14ac:dyDescent="0.25">
      <c r="B56" s="68" t="str">
        <f ca="1">IFERROR(INDEX('Points Lookup'!$A:$A,MATCH($AA56,'Points Lookup'!$AN:$AN,0)),"")</f>
        <v/>
      </c>
      <c r="C56" s="81" t="str">
        <f ca="1">IF(B56="","",SUMIF(INDIRECT("'Points Lookup'!"&amp;VLOOKUP($B$2,Grades!A:BU,72,FALSE)&amp;":"&amp;VLOOKUP($B$2,Grades!A:BU,72,FALSE)),B56,INDIRECT("'Points Lookup'!"&amp;VLOOKUP($B$2,Grades!A:BU,73,FALSE)&amp;":"&amp;VLOOKUP($B$2,Grades!A:BU,73,FALSE))))</f>
        <v/>
      </c>
      <c r="D56" s="82" t="str">
        <f ca="1">IF(B56="","",IF(AND(VLOOKUP($B$2,Grades!$A:$BS,71,0)="Y",B56&lt;7),VLOOKUP($B56,Thresholds_Rates!$I$15:$J$18,2,FALSE),"-"))</f>
        <v/>
      </c>
      <c r="E56" s="81"/>
      <c r="F56" s="81" t="str">
        <f ca="1">IF($B56="","",IF(SUMIF(Grades!$A:$A,$B$2,Grades!$BO:$BO)=0,"-",IF(AND(VLOOKUP($B$2,Grades!$A:$BV,74,FALSE)="YES",B56&lt;Thresholds_Rates!$C$16),"-",$C56*Thresholds_Rates!$F$15)))</f>
        <v/>
      </c>
      <c r="G56" s="81" t="str">
        <f ca="1">IF(B56="","",IF($B$2="Salary Points 3 to 57","-",IF(SUMIF(Grades!$A:$A,$B$2,Grades!$BP:$BP)=0,"-",IF(AND(OR($B$2="New Consultant Contract"),$B56&lt;&gt;""),$C56*Thresholds_Rates!$F$16,IF(AND(OR($B$2="Clinical Lecturer / Medical Research Fellow",$B$2="Clinical Consultant - Old Contract (GP)"),$B56&lt;&gt;""),$C56*Thresholds_Rates!$F$16,IF(AND(OR($B$2="APM Level 7",$B$2="R&amp;T Level 7"),F56&lt;&gt;""),$C56*Thresholds_Rates!$F$16,IF(SUMIF(Grades!$A:$A,$B$2,Grades!$BP:$BP)=1,$C56*Thresholds_Rates!$F$16,"")))))))</f>
        <v/>
      </c>
      <c r="H56" s="81" t="str">
        <f ca="1">IF($B$2="Apprenticeship","-",IF(B56="","",IF(SUMIF(Grades!$A:$A,$B$2,Grades!$BQ:$BQ)=0,"-",IF(AND($B$2="Salary Points 3 to 57",B56&gt;Thresholds_Rates!$C$17),"-",IF(AND($B$2="Salary Points 3 to 57",B56&lt;=Thresholds_Rates!$C$17),$C56*Thresholds_Rates!$F$17,IF(AND(OR($B$2="New Consultant Contract"),$B56&lt;&gt;""),$C56*Thresholds_Rates!$F$17,IF(AND(OR($B$2="Clinical Lecturer / Medical Research Fellow",$B$2="Clinical Consultant - Old Contract (GP)"),$B56&lt;&gt;""),$C56*Thresholds_Rates!$F$17,IF(AND(OR($B$2="APM Level 7",$B$2="R&amp;T Level 7"),G56&lt;&gt;""),$C56*Thresholds_Rates!$F$17,IF(SUMIF(Grades!$A:$A,$B$2,Grades!$BQ:$BQ)=1,$C56*Thresholds_Rates!$F$17,"")))))))))</f>
        <v/>
      </c>
      <c r="I56" s="81" t="str">
        <f ca="1">IF($B56="","",IF($C56=0,0,ROUND(($C56-(Thresholds_Rates!$C$5*12))*Thresholds_Rates!$C$10,0)))</f>
        <v/>
      </c>
      <c r="J56" s="81" t="str">
        <f ca="1">IF(B56="","",(C56*Thresholds_Rates!$C$12))</f>
        <v/>
      </c>
      <c r="K56" s="81" t="str">
        <f ca="1">IF(B56="","",IF(AND($B$2="Salary Points 3 to 57",B56&gt;Thresholds_Rates!$C$17),"-",IF(SUMIF(Grades!$A:$A,$B$2,Grades!$BR:$BR)=0,"-",IF(AND($B$2="Salary Points 3 to 57",B56&lt;=Thresholds_Rates!$C$17),$C56*Thresholds_Rates!$F$18,IF(AND(OR($B$2="New Consultant Contract"),$B56&lt;&gt;""),$C56*Thresholds_Rates!$F$18,IF(AND(OR($B$2="Clinical Lecturer / Medical Research Fellow",$B$2="Clinical Consultant - Old Contract (GP)"),$B56&lt;&gt;""),$C56*Thresholds_Rates!$F$18,IF(AND(OR($B$2="APM Level 7",$B$2="R&amp;T Level 7"),I56&lt;&gt;""),$C56*Thresholds_Rates!$F$18,IF(SUMIF(Grades!$A:$A,$B$2,Grades!$BQ:$BQ)=1,$C56*Thresholds_Rates!$F$18,""))))))))</f>
        <v/>
      </c>
      <c r="L56" s="68"/>
      <c r="M56" s="81" t="str">
        <f t="shared" ca="1" si="0"/>
        <v/>
      </c>
      <c r="N56" s="81" t="str">
        <f t="shared" ca="1" si="1"/>
        <v/>
      </c>
      <c r="O56" s="81" t="str">
        <f t="shared" ca="1" si="2"/>
        <v/>
      </c>
      <c r="P56" s="81" t="str">
        <f t="shared" ca="1" si="3"/>
        <v/>
      </c>
      <c r="Q56" s="81" t="str">
        <f t="shared" ca="1" si="4"/>
        <v/>
      </c>
      <c r="S56" s="83" t="str">
        <f ca="1">IF(B56="","",IF($B$2="R&amp;T Level 5 - Clinical Lecturers (Vet School)",SUMIF('Points Lookup'!$V:$V,$B56,'Points Lookup'!$W:$W),IF($B$2="R&amp;T Level 6 - Clinical Associate Professors and Clinical Readers (Vet School)",SUMIF('Points Lookup'!$AC:$AC,$B56,'Points Lookup'!$AD:$AD),"")))</f>
        <v/>
      </c>
      <c r="T56" s="84" t="str">
        <f ca="1">IF(B56="","",IF($B$2="R&amp;T Level 5 - Clinical Lecturers (Vet School)",$C56-SUMIF('Points Lookup'!$V:$V,$B56,'Points Lookup'!$X:$X),IF($B$2="R&amp;T Level 6 - Clinical Associate Professors and Clinical Readers (Vet School)",$C56-SUMIF('Points Lookup'!$AC:$AC,$B56,'Points Lookup'!$AE:$AE),"")))</f>
        <v/>
      </c>
      <c r="U56" s="83" t="str">
        <f ca="1">IF(B56="","",IF($B$2="R&amp;T Level 5 - Clinical Lecturers (Vet School)",SUMIF('Points Lookup'!$V:$V,$B56,'Points Lookup'!$Z:$Z),IF($B$2="R&amp;T Level 6 - Clinical Associate Professors and Clinical Readers (Vet School)",SUMIF('Points Lookup'!$AC:$AC,$B56,'Points Lookup'!$AG:$AG),"")))</f>
        <v/>
      </c>
      <c r="V56" s="84" t="str">
        <f t="shared" ca="1" si="5"/>
        <v/>
      </c>
      <c r="AA56" s="39">
        <v>50</v>
      </c>
    </row>
    <row r="57" spans="2:27" x14ac:dyDescent="0.25">
      <c r="B57" s="68" t="str">
        <f ca="1">IFERROR(INDEX('Points Lookup'!$A:$A,MATCH($AA57,'Points Lookup'!$AN:$AN,0)),"")</f>
        <v/>
      </c>
      <c r="C57" s="81" t="str">
        <f ca="1">IF(B57="","",SUMIF(INDIRECT("'Points Lookup'!"&amp;VLOOKUP($B$2,Grades!A:BU,72,FALSE)&amp;":"&amp;VLOOKUP($B$2,Grades!A:BU,72,FALSE)),B57,INDIRECT("'Points Lookup'!"&amp;VLOOKUP($B$2,Grades!A:BU,73,FALSE)&amp;":"&amp;VLOOKUP($B$2,Grades!A:BU,73,FALSE))))</f>
        <v/>
      </c>
      <c r="D57" s="82" t="str">
        <f ca="1">IF(B57="","",IF(AND(VLOOKUP($B$2,Grades!$A:$BS,71,0)="Y",B57&lt;7),VLOOKUP($B57,Thresholds_Rates!$I$15:$J$18,2,FALSE),"-"))</f>
        <v/>
      </c>
      <c r="E57" s="81"/>
      <c r="F57" s="81" t="str">
        <f ca="1">IF($B57="","",IF(SUMIF(Grades!$A:$A,$B$2,Grades!$BO:$BO)=0,"-",IF(AND(VLOOKUP($B$2,Grades!$A:$BV,74,FALSE)="YES",B57&lt;Thresholds_Rates!$C$16),"-",$C57*Thresholds_Rates!$F$15)))</f>
        <v/>
      </c>
      <c r="G57" s="81" t="str">
        <f ca="1">IF(B57="","",IF($B$2="Salary Points 3 to 57","-",IF(SUMIF(Grades!$A:$A,$B$2,Grades!$BP:$BP)=0,"-",IF(AND(OR($B$2="New Consultant Contract"),$B57&lt;&gt;""),$C57*Thresholds_Rates!$F$16,IF(AND(OR($B$2="Clinical Lecturer / Medical Research Fellow",$B$2="Clinical Consultant - Old Contract (GP)"),$B57&lt;&gt;""),$C57*Thresholds_Rates!$F$16,IF(AND(OR($B$2="APM Level 7",$B$2="R&amp;T Level 7"),F57&lt;&gt;""),$C57*Thresholds_Rates!$F$16,IF(SUMIF(Grades!$A:$A,$B$2,Grades!$BP:$BP)=1,$C57*Thresholds_Rates!$F$16,"")))))))</f>
        <v/>
      </c>
      <c r="H57" s="81" t="str">
        <f ca="1">IF($B$2="Apprenticeship","-",IF(B57="","",IF(SUMIF(Grades!$A:$A,$B$2,Grades!$BQ:$BQ)=0,"-",IF(AND($B$2="Salary Points 3 to 57",B57&gt;Thresholds_Rates!$C$17),"-",IF(AND($B$2="Salary Points 3 to 57",B57&lt;=Thresholds_Rates!$C$17),$C57*Thresholds_Rates!$F$17,IF(AND(OR($B$2="New Consultant Contract"),$B57&lt;&gt;""),$C57*Thresholds_Rates!$F$17,IF(AND(OR($B$2="Clinical Lecturer / Medical Research Fellow",$B$2="Clinical Consultant - Old Contract (GP)"),$B57&lt;&gt;""),$C57*Thresholds_Rates!$F$17,IF(AND(OR($B$2="APM Level 7",$B$2="R&amp;T Level 7"),G57&lt;&gt;""),$C57*Thresholds_Rates!$F$17,IF(SUMIF(Grades!$A:$A,$B$2,Grades!$BQ:$BQ)=1,$C57*Thresholds_Rates!$F$17,"")))))))))</f>
        <v/>
      </c>
      <c r="I57" s="81" t="str">
        <f ca="1">IF($B57="","",IF($C57=0,0,ROUND(($C57-(Thresholds_Rates!$C$5*12))*Thresholds_Rates!$C$10,0)))</f>
        <v/>
      </c>
      <c r="J57" s="81" t="str">
        <f ca="1">IF(B57="","",(C57*Thresholds_Rates!$C$12))</f>
        <v/>
      </c>
      <c r="K57" s="81" t="str">
        <f ca="1">IF(B57="","",IF(AND($B$2="Salary Points 3 to 57",B57&gt;Thresholds_Rates!$C$17),"-",IF(SUMIF(Grades!$A:$A,$B$2,Grades!$BR:$BR)=0,"-",IF(AND($B$2="Salary Points 3 to 57",B57&lt;=Thresholds_Rates!$C$17),$C57*Thresholds_Rates!$F$18,IF(AND(OR($B$2="New Consultant Contract"),$B57&lt;&gt;""),$C57*Thresholds_Rates!$F$18,IF(AND(OR($B$2="Clinical Lecturer / Medical Research Fellow",$B$2="Clinical Consultant - Old Contract (GP)"),$B57&lt;&gt;""),$C57*Thresholds_Rates!$F$18,IF(AND(OR($B$2="APM Level 7",$B$2="R&amp;T Level 7"),I57&lt;&gt;""),$C57*Thresholds_Rates!$F$18,IF(SUMIF(Grades!$A:$A,$B$2,Grades!$BQ:$BQ)=1,$C57*Thresholds_Rates!$F$18,""))))))))</f>
        <v/>
      </c>
      <c r="L57" s="68"/>
      <c r="M57" s="81" t="str">
        <f t="shared" ca="1" si="0"/>
        <v/>
      </c>
      <c r="N57" s="81" t="str">
        <f t="shared" ca="1" si="1"/>
        <v/>
      </c>
      <c r="O57" s="81" t="str">
        <f t="shared" ca="1" si="2"/>
        <v/>
      </c>
      <c r="P57" s="81" t="str">
        <f t="shared" ca="1" si="3"/>
        <v/>
      </c>
      <c r="Q57" s="81" t="str">
        <f t="shared" ca="1" si="4"/>
        <v/>
      </c>
      <c r="S57" s="83" t="str">
        <f ca="1">IF(B57="","",IF($B$2="R&amp;T Level 5 - Clinical Lecturers (Vet School)",SUMIF('Points Lookup'!$V:$V,$B57,'Points Lookup'!$W:$W),IF($B$2="R&amp;T Level 6 - Clinical Associate Professors and Clinical Readers (Vet School)",SUMIF('Points Lookup'!$AC:$AC,$B57,'Points Lookup'!$AD:$AD),"")))</f>
        <v/>
      </c>
      <c r="T57" s="84" t="str">
        <f ca="1">IF(B57="","",IF($B$2="R&amp;T Level 5 - Clinical Lecturers (Vet School)",$C57-SUMIF('Points Lookup'!$V:$V,$B57,'Points Lookup'!$X:$X),IF($B$2="R&amp;T Level 6 - Clinical Associate Professors and Clinical Readers (Vet School)",$C57-SUMIF('Points Lookup'!$AC:$AC,$B57,'Points Lookup'!$AE:$AE),"")))</f>
        <v/>
      </c>
      <c r="U57" s="83" t="str">
        <f ca="1">IF(B57="","",IF($B$2="R&amp;T Level 5 - Clinical Lecturers (Vet School)",SUMIF('Points Lookup'!$V:$V,$B57,'Points Lookup'!$Z:$Z),IF($B$2="R&amp;T Level 6 - Clinical Associate Professors and Clinical Readers (Vet School)",SUMIF('Points Lookup'!$AC:$AC,$B57,'Points Lookup'!$AG:$AG),"")))</f>
        <v/>
      </c>
      <c r="V57" s="84" t="str">
        <f t="shared" ca="1" si="5"/>
        <v/>
      </c>
      <c r="AA57" s="39">
        <v>51</v>
      </c>
    </row>
    <row r="58" spans="2:27" x14ac:dyDescent="0.25">
      <c r="B58" s="68" t="str">
        <f ca="1">IFERROR(INDEX('Points Lookup'!$A:$A,MATCH($AA58,'Points Lookup'!$AN:$AN,0)),"")</f>
        <v/>
      </c>
      <c r="C58" s="81" t="str">
        <f ca="1">IF(B58="","",SUMIF(INDIRECT("'Points Lookup'!"&amp;VLOOKUP($B$2,Grades!A:BU,72,FALSE)&amp;":"&amp;VLOOKUP($B$2,Grades!A:BU,72,FALSE)),B58,INDIRECT("'Points Lookup'!"&amp;VLOOKUP($B$2,Grades!A:BU,73,FALSE)&amp;":"&amp;VLOOKUP($B$2,Grades!A:BU,73,FALSE))))</f>
        <v/>
      </c>
      <c r="D58" s="82" t="str">
        <f ca="1">IF(B58="","",IF(AND(VLOOKUP($B$2,Grades!$A:$BS,71,0)="Y",B58&lt;7),VLOOKUP($B58,Thresholds_Rates!$I$15:$J$18,2,FALSE),"-"))</f>
        <v/>
      </c>
      <c r="E58" s="81"/>
      <c r="F58" s="81" t="str">
        <f ca="1">IF($B58="","",IF(SUMIF(Grades!$A:$A,$B$2,Grades!$BO:$BO)=0,"-",IF(AND(VLOOKUP($B$2,Grades!$A:$BV,74,FALSE)="YES",B58&lt;Thresholds_Rates!$C$16),"-",$C58*Thresholds_Rates!$F$15)))</f>
        <v/>
      </c>
      <c r="G58" s="81" t="str">
        <f ca="1">IF(B58="","",IF($B$2="Salary Points 3 to 57","-",IF(SUMIF(Grades!$A:$A,$B$2,Grades!$BP:$BP)=0,"-",IF(AND(OR($B$2="New Consultant Contract"),$B58&lt;&gt;""),$C58*Thresholds_Rates!$F$16,IF(AND(OR($B$2="Clinical Lecturer / Medical Research Fellow",$B$2="Clinical Consultant - Old Contract (GP)"),$B58&lt;&gt;""),$C58*Thresholds_Rates!$F$16,IF(AND(OR($B$2="APM Level 7",$B$2="R&amp;T Level 7"),F58&lt;&gt;""),$C58*Thresholds_Rates!$F$16,IF(SUMIF(Grades!$A:$A,$B$2,Grades!$BP:$BP)=1,$C58*Thresholds_Rates!$F$16,"")))))))</f>
        <v/>
      </c>
      <c r="H58" s="81" t="str">
        <f ca="1">IF($B$2="Apprenticeship","-",IF(B58="","",IF(SUMIF(Grades!$A:$A,$B$2,Grades!$BQ:$BQ)=0,"-",IF(AND($B$2="Salary Points 3 to 57",B58&gt;Thresholds_Rates!$C$17),"-",IF(AND($B$2="Salary Points 3 to 57",B58&lt;=Thresholds_Rates!$C$17),$C58*Thresholds_Rates!$F$17,IF(AND(OR($B$2="New Consultant Contract"),$B58&lt;&gt;""),$C58*Thresholds_Rates!$F$17,IF(AND(OR($B$2="Clinical Lecturer / Medical Research Fellow",$B$2="Clinical Consultant - Old Contract (GP)"),$B58&lt;&gt;""),$C58*Thresholds_Rates!$F$17,IF(AND(OR($B$2="APM Level 7",$B$2="R&amp;T Level 7"),G58&lt;&gt;""),$C58*Thresholds_Rates!$F$17,IF(SUMIF(Grades!$A:$A,$B$2,Grades!$BQ:$BQ)=1,$C58*Thresholds_Rates!$F$17,"")))))))))</f>
        <v/>
      </c>
      <c r="I58" s="81" t="str">
        <f ca="1">IF($B58="","",IF($C58=0,0,ROUND(($C58-(Thresholds_Rates!$C$5*12))*Thresholds_Rates!$C$10,0)))</f>
        <v/>
      </c>
      <c r="J58" s="81" t="str">
        <f ca="1">IF(B58="","",(C58*Thresholds_Rates!$C$12))</f>
        <v/>
      </c>
      <c r="K58" s="81" t="str">
        <f ca="1">IF(B58="","",IF(AND($B$2="Salary Points 3 to 57",B58&gt;Thresholds_Rates!$C$17),"-",IF(SUMIF(Grades!$A:$A,$B$2,Grades!$BR:$BR)=0,"-",IF(AND($B$2="Salary Points 3 to 57",B58&lt;=Thresholds_Rates!$C$17),$C58*Thresholds_Rates!$F$18,IF(AND(OR($B$2="New Consultant Contract"),$B58&lt;&gt;""),$C58*Thresholds_Rates!$F$18,IF(AND(OR($B$2="Clinical Lecturer / Medical Research Fellow",$B$2="Clinical Consultant - Old Contract (GP)"),$B58&lt;&gt;""),$C58*Thresholds_Rates!$F$18,IF(AND(OR($B$2="APM Level 7",$B$2="R&amp;T Level 7"),I58&lt;&gt;""),$C58*Thresholds_Rates!$F$18,IF(SUMIF(Grades!$A:$A,$B$2,Grades!$BQ:$BQ)=1,$C58*Thresholds_Rates!$F$18,""))))))))</f>
        <v/>
      </c>
      <c r="L58" s="68"/>
      <c r="M58" s="81" t="str">
        <f t="shared" ca="1" si="0"/>
        <v/>
      </c>
      <c r="N58" s="81" t="str">
        <f t="shared" ca="1" si="1"/>
        <v/>
      </c>
      <c r="O58" s="81" t="str">
        <f t="shared" ca="1" si="2"/>
        <v/>
      </c>
      <c r="P58" s="81" t="str">
        <f t="shared" ca="1" si="3"/>
        <v/>
      </c>
      <c r="Q58" s="81" t="str">
        <f t="shared" ca="1" si="4"/>
        <v/>
      </c>
      <c r="S58" s="83" t="str">
        <f ca="1">IF(B58="","",IF($B$2="R&amp;T Level 5 - Clinical Lecturers (Vet School)",SUMIF('Points Lookup'!$V:$V,$B58,'Points Lookup'!$W:$W),IF($B$2="R&amp;T Level 6 - Clinical Associate Professors and Clinical Readers (Vet School)",SUMIF('Points Lookup'!$AC:$AC,$B58,'Points Lookup'!$AD:$AD),"")))</f>
        <v/>
      </c>
      <c r="T58" s="84" t="str">
        <f ca="1">IF(B58="","",IF($B$2="R&amp;T Level 5 - Clinical Lecturers (Vet School)",$C58-SUMIF('Points Lookup'!$V:$V,$B58,'Points Lookup'!$X:$X),IF($B$2="R&amp;T Level 6 - Clinical Associate Professors and Clinical Readers (Vet School)",$C58-SUMIF('Points Lookup'!$AC:$AC,$B58,'Points Lookup'!$AE:$AE),"")))</f>
        <v/>
      </c>
      <c r="U58" s="83" t="str">
        <f ca="1">IF(B58="","",IF($B$2="R&amp;T Level 5 - Clinical Lecturers (Vet School)",SUMIF('Points Lookup'!$V:$V,$B58,'Points Lookup'!$Z:$Z),IF($B$2="R&amp;T Level 6 - Clinical Associate Professors and Clinical Readers (Vet School)",SUMIF('Points Lookup'!$AC:$AC,$B58,'Points Lookup'!$AG:$AG),"")))</f>
        <v/>
      </c>
      <c r="V58" s="84" t="str">
        <f t="shared" ca="1" si="5"/>
        <v/>
      </c>
      <c r="AA58" s="39">
        <v>52</v>
      </c>
    </row>
    <row r="59" spans="2:27" x14ac:dyDescent="0.25">
      <c r="B59" s="68" t="str">
        <f ca="1">IFERROR(INDEX('Points Lookup'!$A:$A,MATCH($AA59,'Points Lookup'!$AN:$AN,0)),"")</f>
        <v/>
      </c>
      <c r="C59" s="81" t="str">
        <f ca="1">IF(B59="","",SUMIF(INDIRECT("'Points Lookup'!"&amp;VLOOKUP($B$2,Grades!A:BU,72,FALSE)&amp;":"&amp;VLOOKUP($B$2,Grades!A:BU,72,FALSE)),B59,INDIRECT("'Points Lookup'!"&amp;VLOOKUP($B$2,Grades!A:BU,73,FALSE)&amp;":"&amp;VLOOKUP($B$2,Grades!A:BU,73,FALSE))))</f>
        <v/>
      </c>
      <c r="D59" s="82" t="str">
        <f ca="1">IF(B59="","",IF(AND(VLOOKUP($B$2,Grades!$A:$BS,71,0)="Y",B59&lt;7),VLOOKUP($B59,Thresholds_Rates!$I$15:$J$18,2,FALSE),"-"))</f>
        <v/>
      </c>
      <c r="E59" s="81"/>
      <c r="F59" s="81" t="str">
        <f ca="1">IF($B59="","",IF(SUMIF(Grades!$A:$A,$B$2,Grades!$BO:$BO)=0,"-",IF(AND(VLOOKUP($B$2,Grades!$A:$BV,74,FALSE)="YES",B59&lt;Thresholds_Rates!$C$16),"-",$C59*Thresholds_Rates!$F$15)))</f>
        <v/>
      </c>
      <c r="G59" s="81" t="str">
        <f ca="1">IF(B59="","",IF($B$2="Salary Points 3 to 57","-",IF(SUMIF(Grades!$A:$A,$B$2,Grades!$BP:$BP)=0,"-",IF(AND(OR($B$2="New Consultant Contract"),$B59&lt;&gt;""),$C59*Thresholds_Rates!$F$16,IF(AND(OR($B$2="Clinical Lecturer / Medical Research Fellow",$B$2="Clinical Consultant - Old Contract (GP)"),$B59&lt;&gt;""),$C59*Thresholds_Rates!$F$16,IF(AND(OR($B$2="APM Level 7",$B$2="R&amp;T Level 7"),F59&lt;&gt;""),$C59*Thresholds_Rates!$F$16,IF(SUMIF(Grades!$A:$A,$B$2,Grades!$BP:$BP)=1,$C59*Thresholds_Rates!$F$16,"")))))))</f>
        <v/>
      </c>
      <c r="H59" s="81" t="str">
        <f ca="1">IF($B$2="Apprenticeship","-",IF(B59="","",IF(SUMIF(Grades!$A:$A,$B$2,Grades!$BQ:$BQ)=0,"-",IF(AND($B$2="Salary Points 3 to 57",B59&gt;Thresholds_Rates!$C$17),"-",IF(AND($B$2="Salary Points 3 to 57",B59&lt;=Thresholds_Rates!$C$17),$C59*Thresholds_Rates!$F$17,IF(AND(OR($B$2="New Consultant Contract"),$B59&lt;&gt;""),$C59*Thresholds_Rates!$F$17,IF(AND(OR($B$2="Clinical Lecturer / Medical Research Fellow",$B$2="Clinical Consultant - Old Contract (GP)"),$B59&lt;&gt;""),$C59*Thresholds_Rates!$F$17,IF(AND(OR($B$2="APM Level 7",$B$2="R&amp;T Level 7"),G59&lt;&gt;""),$C59*Thresholds_Rates!$F$17,IF(SUMIF(Grades!$A:$A,$B$2,Grades!$BQ:$BQ)=1,$C59*Thresholds_Rates!$F$17,"")))))))))</f>
        <v/>
      </c>
      <c r="I59" s="81" t="str">
        <f ca="1">IF($B59="","",IF($C59=0,0,ROUND(($C59-(Thresholds_Rates!$C$5*12))*Thresholds_Rates!$C$10,0)))</f>
        <v/>
      </c>
      <c r="J59" s="81" t="str">
        <f ca="1">IF(B59="","",(C59*Thresholds_Rates!$C$12))</f>
        <v/>
      </c>
      <c r="K59" s="81" t="str">
        <f ca="1">IF(B59="","",IF(AND($B$2="Salary Points 3 to 57",B59&gt;Thresholds_Rates!$C$17),"-",IF(SUMIF(Grades!$A:$A,$B$2,Grades!$BR:$BR)=0,"-",IF(AND($B$2="Salary Points 3 to 57",B59&lt;=Thresholds_Rates!$C$17),$C59*Thresholds_Rates!$F$18,IF(AND(OR($B$2="New Consultant Contract"),$B59&lt;&gt;""),$C59*Thresholds_Rates!$F$18,IF(AND(OR($B$2="Clinical Lecturer / Medical Research Fellow",$B$2="Clinical Consultant - Old Contract (GP)"),$B59&lt;&gt;""),$C59*Thresholds_Rates!$F$18,IF(AND(OR($B$2="APM Level 7",$B$2="R&amp;T Level 7"),I59&lt;&gt;""),$C59*Thresholds_Rates!$F$18,IF(SUMIF(Grades!$A:$A,$B$2,Grades!$BQ:$BQ)=1,$C59*Thresholds_Rates!$F$18,""))))))))</f>
        <v/>
      </c>
      <c r="L59" s="68"/>
      <c r="M59" s="81" t="str">
        <f t="shared" ca="1" si="0"/>
        <v/>
      </c>
      <c r="N59" s="81" t="str">
        <f t="shared" ca="1" si="1"/>
        <v/>
      </c>
      <c r="O59" s="81" t="str">
        <f t="shared" ca="1" si="2"/>
        <v/>
      </c>
      <c r="P59" s="81" t="str">
        <f t="shared" ca="1" si="3"/>
        <v/>
      </c>
      <c r="Q59" s="81" t="str">
        <f t="shared" ca="1" si="4"/>
        <v/>
      </c>
      <c r="S59" s="83" t="str">
        <f ca="1">IF(B59="","",IF($B$2="R&amp;T Level 5 - Clinical Lecturers (Vet School)",SUMIF('Points Lookup'!$V:$V,$B59,'Points Lookup'!$W:$W),IF($B$2="R&amp;T Level 6 - Clinical Associate Professors and Clinical Readers (Vet School)",SUMIF('Points Lookup'!$AC:$AC,$B59,'Points Lookup'!$AD:$AD),"")))</f>
        <v/>
      </c>
      <c r="T59" s="84" t="str">
        <f ca="1">IF(B59="","",IF($B$2="R&amp;T Level 5 - Clinical Lecturers (Vet School)",$C59-SUMIF('Points Lookup'!$V:$V,$B59,'Points Lookup'!$X:$X),IF($B$2="R&amp;T Level 6 - Clinical Associate Professors and Clinical Readers (Vet School)",$C59-SUMIF('Points Lookup'!$AC:$AC,$B59,'Points Lookup'!$AE:$AE),"")))</f>
        <v/>
      </c>
      <c r="U59" s="83" t="str">
        <f ca="1">IF(B59="","",IF($B$2="R&amp;T Level 5 - Clinical Lecturers (Vet School)",SUMIF('Points Lookup'!$V:$V,$B59,'Points Lookup'!$Z:$Z),IF($B$2="R&amp;T Level 6 - Clinical Associate Professors and Clinical Readers (Vet School)",SUMIF('Points Lookup'!$AC:$AC,$B59,'Points Lookup'!$AG:$AG),"")))</f>
        <v/>
      </c>
      <c r="V59" s="84" t="str">
        <f t="shared" ca="1" si="5"/>
        <v/>
      </c>
      <c r="AA59" s="39">
        <v>53</v>
      </c>
    </row>
    <row r="60" spans="2:27" x14ac:dyDescent="0.25">
      <c r="B60" s="68" t="str">
        <f ca="1">IFERROR(INDEX('Points Lookup'!$A:$A,MATCH($AA60,'Points Lookup'!$AN:$AN,0)),"")</f>
        <v/>
      </c>
      <c r="C60" s="81" t="str">
        <f ca="1">IF(B60="","",SUMIF(INDIRECT("'Points Lookup'!"&amp;VLOOKUP($B$2,Grades!A:BU,72,FALSE)&amp;":"&amp;VLOOKUP($B$2,Grades!A:BU,72,FALSE)),B60,INDIRECT("'Points Lookup'!"&amp;VLOOKUP($B$2,Grades!A:BU,73,FALSE)&amp;":"&amp;VLOOKUP($B$2,Grades!A:BU,73,FALSE))))</f>
        <v/>
      </c>
      <c r="D60" s="82" t="str">
        <f ca="1">IF(B60="","",IF(AND(VLOOKUP($B$2,Grades!$A:$BS,71,0)="Y",B60&lt;7),VLOOKUP($B60,Thresholds_Rates!$I$15:$J$18,2,FALSE),"-"))</f>
        <v/>
      </c>
      <c r="E60" s="81"/>
      <c r="F60" s="81" t="str">
        <f ca="1">IF($B60="","",IF(SUMIF(Grades!$A:$A,$B$2,Grades!$BO:$BO)=0,"-",IF(AND(VLOOKUP($B$2,Grades!$A:$BV,74,FALSE)="YES",B60&lt;Thresholds_Rates!$C$16),"-",$C60*Thresholds_Rates!$F$15)))</f>
        <v/>
      </c>
      <c r="G60" s="81" t="str">
        <f ca="1">IF(B60="","",IF($B$2="Salary Points 3 to 57","-",IF(SUMIF(Grades!$A:$A,$B$2,Grades!$BP:$BP)=0,"-",IF(AND(OR($B$2="New Consultant Contract"),$B60&lt;&gt;""),$C60*Thresholds_Rates!$F$16,IF(AND(OR($B$2="Clinical Lecturer / Medical Research Fellow",$B$2="Clinical Consultant - Old Contract (GP)"),$B60&lt;&gt;""),$C60*Thresholds_Rates!$F$16,IF(AND(OR($B$2="APM Level 7",$B$2="R&amp;T Level 7"),F60&lt;&gt;""),$C60*Thresholds_Rates!$F$16,IF(SUMIF(Grades!$A:$A,$B$2,Grades!$BP:$BP)=1,$C60*Thresholds_Rates!$F$16,"")))))))</f>
        <v/>
      </c>
      <c r="H60" s="81" t="str">
        <f ca="1">IF($B$2="Apprenticeship","-",IF(B60="","",IF(SUMIF(Grades!$A:$A,$B$2,Grades!$BQ:$BQ)=0,"-",IF(AND($B$2="Salary Points 3 to 57",B60&gt;Thresholds_Rates!$C$17),"-",IF(AND($B$2="Salary Points 3 to 57",B60&lt;=Thresholds_Rates!$C$17),$C60*Thresholds_Rates!$F$17,IF(AND(OR($B$2="New Consultant Contract"),$B60&lt;&gt;""),$C60*Thresholds_Rates!$F$17,IF(AND(OR($B$2="Clinical Lecturer / Medical Research Fellow",$B$2="Clinical Consultant - Old Contract (GP)"),$B60&lt;&gt;""),$C60*Thresholds_Rates!$F$17,IF(AND(OR($B$2="APM Level 7",$B$2="R&amp;T Level 7"),G60&lt;&gt;""),$C60*Thresholds_Rates!$F$17,IF(SUMIF(Grades!$A:$A,$B$2,Grades!$BQ:$BQ)=1,$C60*Thresholds_Rates!$F$17,"")))))))))</f>
        <v/>
      </c>
      <c r="I60" s="81" t="str">
        <f ca="1">IF($B60="","",IF($C60=0,0,ROUND(($C60-(Thresholds_Rates!$C$5*12))*Thresholds_Rates!$C$10,0)))</f>
        <v/>
      </c>
      <c r="J60" s="81" t="str">
        <f ca="1">IF(B60="","",(C60*Thresholds_Rates!$C$12))</f>
        <v/>
      </c>
      <c r="K60" s="81" t="str">
        <f ca="1">IF(B60="","",IF(AND($B$2="Salary Points 3 to 57",B60&gt;Thresholds_Rates!$C$17),"-",IF(SUMIF(Grades!$A:$A,$B$2,Grades!$BR:$BR)=0,"-",IF(AND($B$2="Salary Points 3 to 57",B60&lt;=Thresholds_Rates!$C$17),$C60*Thresholds_Rates!$F$18,IF(AND(OR($B$2="New Consultant Contract"),$B60&lt;&gt;""),$C60*Thresholds_Rates!$F$18,IF(AND(OR($B$2="Clinical Lecturer / Medical Research Fellow",$B$2="Clinical Consultant - Old Contract (GP)"),$B60&lt;&gt;""),$C60*Thresholds_Rates!$F$18,IF(AND(OR($B$2="APM Level 7",$B$2="R&amp;T Level 7"),I60&lt;&gt;""),$C60*Thresholds_Rates!$F$18,IF(SUMIF(Grades!$A:$A,$B$2,Grades!$BQ:$BQ)=1,$C60*Thresholds_Rates!$F$18,""))))))))</f>
        <v/>
      </c>
      <c r="L60" s="68"/>
      <c r="M60" s="81" t="str">
        <f t="shared" ca="1" si="0"/>
        <v/>
      </c>
      <c r="N60" s="81" t="str">
        <f t="shared" ca="1" si="1"/>
        <v/>
      </c>
      <c r="O60" s="81" t="str">
        <f t="shared" ca="1" si="2"/>
        <v/>
      </c>
      <c r="P60" s="81" t="str">
        <f t="shared" ca="1" si="3"/>
        <v/>
      </c>
      <c r="Q60" s="81" t="str">
        <f t="shared" ca="1" si="4"/>
        <v/>
      </c>
      <c r="S60" s="83" t="str">
        <f ca="1">IF(B60="","",IF($B$2="R&amp;T Level 5 - Clinical Lecturers (Vet School)",SUMIF('Points Lookup'!$V:$V,$B60,'Points Lookup'!$W:$W),IF($B$2="R&amp;T Level 6 - Clinical Associate Professors and Clinical Readers (Vet School)",SUMIF('Points Lookup'!$AC:$AC,$B60,'Points Lookup'!$AD:$AD),"")))</f>
        <v/>
      </c>
      <c r="T60" s="84" t="str">
        <f ca="1">IF(B60="","",IF($B$2="R&amp;T Level 5 - Clinical Lecturers (Vet School)",$C60-SUMIF('Points Lookup'!$V:$V,$B60,'Points Lookup'!$X:$X),IF($B$2="R&amp;T Level 6 - Clinical Associate Professors and Clinical Readers (Vet School)",$C60-SUMIF('Points Lookup'!$AC:$AC,$B60,'Points Lookup'!$AE:$AE),"")))</f>
        <v/>
      </c>
      <c r="U60" s="83" t="str">
        <f ca="1">IF(B60="","",IF($B$2="R&amp;T Level 5 - Clinical Lecturers (Vet School)",SUMIF('Points Lookup'!$V:$V,$B60,'Points Lookup'!$Z:$Z),IF($B$2="R&amp;T Level 6 - Clinical Associate Professors and Clinical Readers (Vet School)",SUMIF('Points Lookup'!$AC:$AC,$B60,'Points Lookup'!$AG:$AG),"")))</f>
        <v/>
      </c>
      <c r="V60" s="84" t="str">
        <f t="shared" ca="1" si="5"/>
        <v/>
      </c>
      <c r="AA60" s="39">
        <v>54</v>
      </c>
    </row>
    <row r="61" spans="2:27" x14ac:dyDescent="0.25">
      <c r="B61" s="68" t="str">
        <f ca="1">IFERROR(INDEX('Points Lookup'!$A:$A,MATCH($AA61,'Points Lookup'!$AN:$AN,0)),"")</f>
        <v/>
      </c>
      <c r="C61" s="81" t="str">
        <f ca="1">IF(B61="","",SUMIF(INDIRECT("'Points Lookup'!"&amp;VLOOKUP($B$2,Grades!A:BU,72,FALSE)&amp;":"&amp;VLOOKUP($B$2,Grades!A:BU,72,FALSE)),B61,INDIRECT("'Points Lookup'!"&amp;VLOOKUP($B$2,Grades!A:BU,73,FALSE)&amp;":"&amp;VLOOKUP($B$2,Grades!A:BU,73,FALSE))))</f>
        <v/>
      </c>
      <c r="D61" s="82" t="str">
        <f ca="1">IF(B61="","",IF(AND(VLOOKUP($B$2,Grades!$A:$BS,71,0)="Y",B61&lt;7),VLOOKUP($B61,Thresholds_Rates!$I$15:$J$18,2,FALSE),"-"))</f>
        <v/>
      </c>
      <c r="E61" s="81"/>
      <c r="F61" s="81" t="str">
        <f ca="1">IF($B61="","",IF(SUMIF(Grades!$A:$A,$B$2,Grades!$BO:$BO)=0,"-",IF(AND(VLOOKUP($B$2,Grades!$A:$BV,74,FALSE)="YES",B61&lt;Thresholds_Rates!$C$16),"-",$C61*Thresholds_Rates!$F$15)))</f>
        <v/>
      </c>
      <c r="G61" s="81" t="str">
        <f ca="1">IF(B61="","",IF($B$2="Salary Points 3 to 57","-",IF(SUMIF(Grades!$A:$A,$B$2,Grades!$BP:$BP)=0,"-",IF(AND(OR($B$2="New Consultant Contract"),$B61&lt;&gt;""),$C61*Thresholds_Rates!$F$16,IF(AND(OR($B$2="Clinical Lecturer / Medical Research Fellow",$B$2="Clinical Consultant - Old Contract (GP)"),$B61&lt;&gt;""),$C61*Thresholds_Rates!$F$16,IF(AND(OR($B$2="APM Level 7",$B$2="R&amp;T Level 7"),F61&lt;&gt;""),$C61*Thresholds_Rates!$F$16,IF(SUMIF(Grades!$A:$A,$B$2,Grades!$BP:$BP)=1,$C61*Thresholds_Rates!$F$16,"")))))))</f>
        <v/>
      </c>
      <c r="H61" s="81" t="str">
        <f ca="1">IF($B$2="Apprenticeship","-",IF(B61="","",IF(SUMIF(Grades!$A:$A,$B$2,Grades!$BQ:$BQ)=0,"-",IF(AND($B$2="Salary Points 3 to 57",B61&gt;Thresholds_Rates!$C$17),"-",IF(AND($B$2="Salary Points 3 to 57",B61&lt;=Thresholds_Rates!$C$17),$C61*Thresholds_Rates!$F$17,IF(AND(OR($B$2="New Consultant Contract"),$B61&lt;&gt;""),$C61*Thresholds_Rates!$F$17,IF(AND(OR($B$2="Clinical Lecturer / Medical Research Fellow",$B$2="Clinical Consultant - Old Contract (GP)"),$B61&lt;&gt;""),$C61*Thresholds_Rates!$F$17,IF(AND(OR($B$2="APM Level 7",$B$2="R&amp;T Level 7"),G61&lt;&gt;""),$C61*Thresholds_Rates!$F$17,IF(SUMIF(Grades!$A:$A,$B$2,Grades!$BQ:$BQ)=1,$C61*Thresholds_Rates!$F$17,"")))))))))</f>
        <v/>
      </c>
      <c r="I61" s="81" t="str">
        <f ca="1">IF($B61="","",IF($C61=0,0,ROUND(($C61-(Thresholds_Rates!$C$5*12))*Thresholds_Rates!$C$10,0)))</f>
        <v/>
      </c>
      <c r="J61" s="81" t="str">
        <f ca="1">IF(B61="","",(C61*Thresholds_Rates!$C$12))</f>
        <v/>
      </c>
      <c r="K61" s="81" t="str">
        <f ca="1">IF(B61="","",IF(AND($B$2="Salary Points 3 to 57",B61&gt;Thresholds_Rates!$C$17),"-",IF(SUMIF(Grades!$A:$A,$B$2,Grades!$BR:$BR)=0,"-",IF(AND($B$2="Salary Points 3 to 57",B61&lt;=Thresholds_Rates!$C$17),$C61*Thresholds_Rates!$F$18,IF(AND(OR($B$2="New Consultant Contract"),$B61&lt;&gt;""),$C61*Thresholds_Rates!$F$18,IF(AND(OR($B$2="Clinical Lecturer / Medical Research Fellow",$B$2="Clinical Consultant - Old Contract (GP)"),$B61&lt;&gt;""),$C61*Thresholds_Rates!$F$18,IF(AND(OR($B$2="APM Level 7",$B$2="R&amp;T Level 7"),I61&lt;&gt;""),$C61*Thresholds_Rates!$F$18,IF(SUMIF(Grades!$A:$A,$B$2,Grades!$BQ:$BQ)=1,$C61*Thresholds_Rates!$F$18,""))))))))</f>
        <v/>
      </c>
      <c r="L61" s="68"/>
      <c r="M61" s="81" t="str">
        <f t="shared" ca="1" si="0"/>
        <v/>
      </c>
      <c r="N61" s="81" t="str">
        <f t="shared" ca="1" si="1"/>
        <v/>
      </c>
      <c r="O61" s="81" t="str">
        <f t="shared" ca="1" si="2"/>
        <v/>
      </c>
      <c r="P61" s="81" t="str">
        <f t="shared" ca="1" si="3"/>
        <v/>
      </c>
      <c r="Q61" s="81" t="str">
        <f t="shared" ca="1" si="4"/>
        <v/>
      </c>
      <c r="S61" s="83" t="str">
        <f ca="1">IF(B61="","",IF($B$2="R&amp;T Level 5 - Clinical Lecturers (Vet School)",SUMIF('Points Lookup'!$V:$V,$B61,'Points Lookup'!$W:$W),IF($B$2="R&amp;T Level 6 - Clinical Associate Professors and Clinical Readers (Vet School)",SUMIF('Points Lookup'!$AC:$AC,$B61,'Points Lookup'!$AD:$AD),"")))</f>
        <v/>
      </c>
      <c r="T61" s="84" t="str">
        <f ca="1">IF(B61="","",IF($B$2="R&amp;T Level 5 - Clinical Lecturers (Vet School)",$C61-SUMIF('Points Lookup'!$V:$V,$B61,'Points Lookup'!$X:$X),IF($B$2="R&amp;T Level 6 - Clinical Associate Professors and Clinical Readers (Vet School)",$C61-SUMIF('Points Lookup'!$AC:$AC,$B61,'Points Lookup'!$AE:$AE),"")))</f>
        <v/>
      </c>
      <c r="U61" s="83" t="str">
        <f ca="1">IF(B61="","",IF($B$2="R&amp;T Level 5 - Clinical Lecturers (Vet School)",SUMIF('Points Lookup'!$V:$V,$B61,'Points Lookup'!$Z:$Z),IF($B$2="R&amp;T Level 6 - Clinical Associate Professors and Clinical Readers (Vet School)",SUMIF('Points Lookup'!$AC:$AC,$B61,'Points Lookup'!$AG:$AG),"")))</f>
        <v/>
      </c>
      <c r="V61" s="84" t="str">
        <f t="shared" ca="1" si="5"/>
        <v/>
      </c>
      <c r="AA61" s="39">
        <v>55</v>
      </c>
    </row>
    <row r="62" spans="2:27" x14ac:dyDescent="0.25">
      <c r="B62" s="68" t="str">
        <f ca="1">IFERROR(INDEX('Points Lookup'!$A:$A,MATCH($AA62,'Points Lookup'!$AN:$AN,0)),"")</f>
        <v/>
      </c>
      <c r="C62" s="81" t="str">
        <f ca="1">IF(B62="","",SUMIF(INDIRECT("'Points Lookup'!"&amp;VLOOKUP($B$2,Grades!A:BU,72,FALSE)&amp;":"&amp;VLOOKUP($B$2,Grades!A:BU,72,FALSE)),B62,INDIRECT("'Points Lookup'!"&amp;VLOOKUP($B$2,Grades!A:BU,73,FALSE)&amp;":"&amp;VLOOKUP($B$2,Grades!A:BU,73,FALSE))))</f>
        <v/>
      </c>
      <c r="D62" s="81"/>
      <c r="E62" s="81"/>
      <c r="F62" s="81" t="str">
        <f ca="1">IF($B62="","",IF(SUMIF(Grades!$A:$A,$B$2,Grades!$BO:$BO)=0,"-",IF(AND(VLOOKUP($B$2,Grades!$A:$BV,74,FALSE)="YES",B62&lt;Thresholds_Rates!$C$16),"-",$C62*Thresholds_Rates!$F$15)))</f>
        <v/>
      </c>
      <c r="G62" s="81" t="str">
        <f ca="1">IF(B62="","",IF($B$2="Salary Points 3 to 57","-",IF(SUMIF(Grades!$A:$A,$B$2,Grades!$BP:$BP)=0,"-",IF(AND(OR($B$2="New Consultant Contract"),$B62&lt;&gt;""),$C62*Thresholds_Rates!$F$16,IF(AND(OR($B$2="Clinical Lecturer / Medical Research Fellow",$B$2="Clinical Consultant - Old Contract (GP)"),$B62&lt;&gt;""),$C62*Thresholds_Rates!$F$16,IF(AND(OR($B$2="APM Level 7",$B$2="R&amp;T Level 7"),F62&lt;&gt;""),$C62*Thresholds_Rates!$F$16,IF(SUMIF(Grades!$A:$A,$B$2,Grades!$BP:$BP)=1,$C62*Thresholds_Rates!$F$16,"")))))))</f>
        <v/>
      </c>
      <c r="H62" s="81" t="str">
        <f ca="1">IF($B$2="Apprenticeship","-",IF(B62="","",IF(SUMIF(Grades!$A:$A,$B$2,Grades!$BQ:$BQ)=0,"-",IF(AND($B$2="Salary Points 3 to 57",B62&gt;Thresholds_Rates!$C$17),"-",IF(AND($B$2="Salary Points 3 to 57",B62&lt;=Thresholds_Rates!$C$17),$C62*Thresholds_Rates!$F$17,IF(AND(OR($B$2="New Consultant Contract"),$B62&lt;&gt;""),$C62*Thresholds_Rates!$F$17,IF(AND(OR($B$2="Clinical Lecturer / Medical Research Fellow",$B$2="Clinical Consultant - Old Contract (GP)"),$B62&lt;&gt;""),$C62*Thresholds_Rates!$F$17,IF(AND(OR($B$2="APM Level 7",$B$2="R&amp;T Level 7"),G62&lt;&gt;""),$C62*Thresholds_Rates!$F$17,IF(SUMIF(Grades!$A:$A,$B$2,Grades!$BQ:$BQ)=1,$C62*Thresholds_Rates!$F$17,"")))))))))</f>
        <v/>
      </c>
      <c r="I62" s="81" t="str">
        <f ca="1">IF($B62="","",IF($C62=0,0,ROUND(($C62-(Thresholds_Rates!$C$5*12))*Thresholds_Rates!$C$10,0)))</f>
        <v/>
      </c>
      <c r="J62" s="81" t="str">
        <f ca="1">IF(B62="","",(C62*Thresholds_Rates!$C$12))</f>
        <v/>
      </c>
      <c r="K62" s="81" t="str">
        <f ca="1">IF(B62="","",IF(AND($B$2="Salary Points 3 to 57",B62&gt;Thresholds_Rates!$C$17),"-",IF(SUMIF(Grades!$A:$A,$B$2,Grades!$BR:$BR)=0,"-",IF(AND($B$2="Salary Points 3 to 57",B62&lt;=Thresholds_Rates!$C$17),$C62*Thresholds_Rates!$F$18,IF(AND(OR($B$2="New Consultant Contract"),$B62&lt;&gt;""),$C62*Thresholds_Rates!$F$18,IF(AND(OR($B$2="Clinical Lecturer / Medical Research Fellow",$B$2="Clinical Consultant - Old Contract (GP)"),$B62&lt;&gt;""),$C62*Thresholds_Rates!$F$18,IF(AND(OR($B$2="APM Level 7",$B$2="R&amp;T Level 7"),I62&lt;&gt;""),$C62*Thresholds_Rates!$F$18,IF(SUMIF(Grades!$A:$A,$B$2,Grades!$BQ:$BQ)=1,$C62*Thresholds_Rates!$F$18,""))))))))</f>
        <v/>
      </c>
      <c r="L62" s="68"/>
      <c r="M62" s="81" t="str">
        <f t="shared" ca="1" si="0"/>
        <v/>
      </c>
      <c r="N62" s="81" t="str">
        <f t="shared" ca="1" si="1"/>
        <v/>
      </c>
      <c r="O62" s="81" t="str">
        <f t="shared" ca="1" si="2"/>
        <v/>
      </c>
      <c r="P62" s="81" t="str">
        <f t="shared" ca="1" si="3"/>
        <v/>
      </c>
      <c r="Q62" s="81" t="str">
        <f t="shared" ca="1" si="4"/>
        <v/>
      </c>
      <c r="S62" s="83" t="str">
        <f ca="1">IF(B62="","",IF($B$2="R&amp;T Level 5 - Clinical Lecturers (Vet School)",SUMIF('Points Lookup'!$V:$V,$B62,'Points Lookup'!$W:$W),IF($B$2="R&amp;T Level 6 - Clinical Associate Professors and Clinical Readers (Vet School)",SUMIF('Points Lookup'!$AC:$AC,$B62,'Points Lookup'!$AD:$AD),"")))</f>
        <v/>
      </c>
      <c r="T62" s="84" t="str">
        <f ca="1">IF(B62="","",IF($B$2="R&amp;T Level 5 - Clinical Lecturers (Vet School)",$C62-SUMIF('Points Lookup'!$V:$V,$B62,'Points Lookup'!$X:$X),IF($B$2="R&amp;T Level 6 - Clinical Associate Professors and Clinical Readers (Vet School)",$C62-SUMIF('Points Lookup'!$AC:$AC,$B62,'Points Lookup'!$AE:$AE),"")))</f>
        <v/>
      </c>
      <c r="U62" s="83" t="str">
        <f ca="1">IF(B62="","",IF($B$2="R&amp;T Level 5 - Clinical Lecturers (Vet School)",SUMIF('Points Lookup'!$V:$V,$B62,'Points Lookup'!$Z:$Z),IF($B$2="R&amp;T Level 6 - Clinical Associate Professors and Clinical Readers (Vet School)",SUMIF('Points Lookup'!$AC:$AC,$B62,'Points Lookup'!$AG:$AG),"")))</f>
        <v/>
      </c>
      <c r="V62" s="84" t="str">
        <f t="shared" ca="1" si="5"/>
        <v/>
      </c>
      <c r="AA62" s="39">
        <v>56</v>
      </c>
    </row>
    <row r="63" spans="2:27" x14ac:dyDescent="0.25">
      <c r="B63" s="68" t="str">
        <f ca="1">IFERROR(INDEX('Points Lookup'!$A:$A,MATCH($AA63,'Points Lookup'!$AN:$AN,0)),"")</f>
        <v/>
      </c>
      <c r="C63" s="81" t="str">
        <f ca="1">IF(B63="","",SUMIF(INDIRECT("'Points Lookup'!"&amp;VLOOKUP($B$2,Grades!A:BU,72,FALSE)&amp;":"&amp;VLOOKUP($B$2,Grades!A:BU,72,FALSE)),B63,INDIRECT("'Points Lookup'!"&amp;VLOOKUP($B$2,Grades!A:BU,73,FALSE)&amp;":"&amp;VLOOKUP($B$2,Grades!A:BU,73,FALSE))))</f>
        <v/>
      </c>
      <c r="D63" s="81"/>
      <c r="E63" s="81"/>
      <c r="F63" s="81" t="str">
        <f ca="1">IF($B63="","",IF(SUMIF(Grades!$A:$A,$B$2,Grades!$BO:$BO)=0,"-",IF(AND(VLOOKUP($B$2,Grades!$A:$BV,74,FALSE)="YES",B63&lt;Thresholds_Rates!$C$16),"-",$C63*Thresholds_Rates!$F$15)))</f>
        <v/>
      </c>
      <c r="G63" s="81" t="str">
        <f ca="1">IF(B63="","",IF($B$2="Salary Points 1 to 57","-",IF(SUMIF(Grades!$A:$A,$B$2,Grades!$BP:$BP)=0,"-",IF(AND(OR($B$2="New Consultant Contract"),$B63&lt;&gt;""),$C63*Thresholds_Rates!$F$16,IF(AND(OR($B$2="Clinical Lecturer / Medical Research Fellow",$B$2="Clinical Consultant - Old Contract (GP)"),$B63&lt;&gt;""),$C63*Thresholds_Rates!$F$16,IF(AND(OR($B$2="APM Level 7",$B$2="R&amp;T Level 7"),F63&lt;&gt;""),$C63*Thresholds_Rates!$F$16,IF(SUMIF(Grades!$A:$A,$B$2,Grades!$BP:$BP)=1,$C63*Thresholds_Rates!$F$16,"")))))))</f>
        <v/>
      </c>
      <c r="H63" s="81" t="str">
        <f ca="1">IF(B63="","",IF(SUMIF(Grades!$A:$A,$B$2,Grades!$BQ:$BQ)=0,"-",IF(AND($B$2="Salary Points 1 to 57",B63&gt;Thresholds_Rates!$C$17),"-",IF(AND($B$2="Salary Points 1 to 57",B63&lt;=Thresholds_Rates!$C$17),$C63*Thresholds_Rates!$F$17,IF(AND(OR($B$2="New Consultant Contract"),$B63&lt;&gt;""),$C63*Thresholds_Rates!$F$17,IF(AND(OR($B$2="Clinical Lecturer / Medical Research Fellow",$B$2="Clinical Consultant - Old Contract (GP)"),$B63&lt;&gt;""),$C63*Thresholds_Rates!$F$17,IF(AND(OR($B$2="APM Level 7",$B$2="R&amp;T Level 7"),G63&lt;&gt;""),$C63*Thresholds_Rates!$F$17,IF(SUMIF(Grades!$A:$A,$B$2,Grades!$BQ:$BQ)=1,$C63*Thresholds_Rates!$F$17,""))))))))</f>
        <v/>
      </c>
      <c r="I63" s="81" t="str">
        <f ca="1">IF($B63="","",IF($C63=0,0,ROUND(($C63-(Thresholds_Rates!$C$5*12))*Thresholds_Rates!$C$10,0)))</f>
        <v/>
      </c>
      <c r="J63" s="81" t="str">
        <f ca="1">IF(B63="","",(C63*Thresholds_Rates!$C$12))</f>
        <v/>
      </c>
      <c r="K63" s="81" t="str">
        <f ca="1">IF(B63="","",IF(AND($B$2="Salary Points 1 to 57",B63&gt;Thresholds_Rates!$C$17),"-",IF(SUMIF(Grades!$A:$A,$B$2,Grades!$BR:$BR)=0,"-",IF(AND($B$2="Salary Points 1 to 57",B63&lt;=Thresholds_Rates!$C$17),$C63*Thresholds_Rates!$F$18,IF(AND(OR($B$2="New Consultant Contract"),$B63&lt;&gt;""),$C63*Thresholds_Rates!$F$18,IF(AND(OR($B$2="Clinical Lecturer / Medical Research Fellow",$B$2="Clinical Consultant - Old Contract (GP)"),$B63&lt;&gt;""),$C63*Thresholds_Rates!$F$18,IF(AND(OR($B$2="APM Level 7",$B$2="R&amp;T Level 7"),I63&lt;&gt;""),$C63*Thresholds_Rates!$F$18,IF(SUMIF(Grades!$A:$A,$B$2,Grades!$BQ:$BQ)=1,$C63*Thresholds_Rates!$F$18,""))))))))</f>
        <v/>
      </c>
      <c r="L63" s="68"/>
      <c r="M63" s="81" t="str">
        <f t="shared" ca="1" si="0"/>
        <v/>
      </c>
      <c r="N63" s="81" t="str">
        <f t="shared" ca="1" si="1"/>
        <v/>
      </c>
      <c r="O63" s="81" t="str">
        <f t="shared" ca="1" si="2"/>
        <v/>
      </c>
      <c r="P63" s="81" t="str">
        <f t="shared" ca="1" si="3"/>
        <v/>
      </c>
      <c r="Q63" s="81" t="str">
        <f t="shared" ca="1" si="4"/>
        <v/>
      </c>
      <c r="S63" s="83" t="str">
        <f ca="1">IF(B63="","",IF($B$2="R&amp;T Level 5 - Clinical Lecturers (Vet School)",SUMIF('Points Lookup'!$V:$V,$B63,'Points Lookup'!$W:$W),IF($B$2="R&amp;T Level 6 - Clinical Associate Professors and Clinical Readers (Vet School)",SUMIF('Points Lookup'!$AC:$AC,$B63,'Points Lookup'!$AD:$AD),"")))</f>
        <v/>
      </c>
      <c r="T63" s="84" t="str">
        <f ca="1">IF(B63="","",IF($B$2="R&amp;T Level 5 - Clinical Lecturers (Vet School)",$C63-SUMIF('Points Lookup'!$V:$V,$B63,'Points Lookup'!$X:$X),IF($B$2="R&amp;T Level 6 - Clinical Associate Professors and Clinical Readers (Vet School)",$C63-SUMIF('Points Lookup'!$AC:$AC,$B63,'Points Lookup'!$AE:$AE),"")))</f>
        <v/>
      </c>
      <c r="U63" s="83" t="str">
        <f ca="1">IF(B63="","",IF($B$2="R&amp;T Level 5 - Clinical Lecturers (Vet School)",SUMIF('Points Lookup'!$V:$V,$B63,'Points Lookup'!$Z:$Z),IF($B$2="R&amp;T Level 6 - Clinical Associate Professors and Clinical Readers (Vet School)",SUMIF('Points Lookup'!$AC:$AC,$B63,'Points Lookup'!$AG:$AG),"")))</f>
        <v/>
      </c>
      <c r="V63" s="84" t="str">
        <f t="shared" ca="1" si="5"/>
        <v/>
      </c>
      <c r="AA63" s="39">
        <v>57</v>
      </c>
    </row>
    <row r="64" spans="2:27" x14ac:dyDescent="0.25">
      <c r="B64" s="68" t="str">
        <f ca="1">IFERROR(INDEX('Points Lookup'!$A:$A,MATCH($AA66,'Points Lookup'!$AN:$AN,0)),"")</f>
        <v/>
      </c>
      <c r="C64" s="81" t="str">
        <f ca="1">IF(B64="","",SUMIF(INDIRECT("'Points Lookup'!"&amp;VLOOKUP($B$2,Grades!A:BU,72,FALSE)&amp;":"&amp;VLOOKUP($B$2,Grades!A:BU,72,FALSE)),B64,INDIRECT("'Points Lookup'!"&amp;VLOOKUP($B$2,Grades!A:BU,73,FALSE)&amp;":"&amp;VLOOKUP($B$2,Grades!A:BU,73,FALSE))))</f>
        <v/>
      </c>
      <c r="D64" s="81"/>
      <c r="E64" s="81"/>
      <c r="F64" s="81" t="str">
        <f ca="1">IF($B64="","",IF(SUMIF(Grades!$A:$A,$B$2,Grades!$BO:$BO)=0,"-",IF(AND(VLOOKUP($B$2,Grades!$A:$BV,74,FALSE)="YES",B64&lt;Thresholds_Rates!$C$16),"-",$C64*Thresholds_Rates!$F$15)))</f>
        <v/>
      </c>
      <c r="G64" s="81" t="str">
        <f ca="1">IF(B64="","",IF($B$2="Salary Points 1 to 57","-",IF(SUMIF(Grades!$A:$A,$B$2,Grades!$BP:$BP)=0,"-",IF(AND(OR($B$2="New Consultant Contract"),$B64&lt;&gt;""),$C64*Thresholds_Rates!$F$16,IF(AND(OR($B$2="Clinical Lecturer / Medical Research Fellow",$B$2="Clinical Consultant - Old Contract (GP)"),$B64&lt;&gt;""),$C64*Thresholds_Rates!$F$16,IF(AND(OR($B$2="APM Level 7",$B$2="R&amp;T Level 7"),F64&lt;&gt;""),$C64*Thresholds_Rates!$F$16,IF(SUMIF(Grades!$A:$A,$B$2,Grades!$BP:$BP)=1,$C64*Thresholds_Rates!$F$16,"")))))))</f>
        <v/>
      </c>
      <c r="H64" s="81" t="str">
        <f ca="1">IF(B64="","",IF(SUMIF(Grades!$A:$A,$B$2,Grades!$BQ:$BQ)=0,"-",IF(AND($B$2="Salary Points 1 to 57",B64&gt;Thresholds_Rates!$C$17),"-",IF(AND($B$2="Salary Points 1 to 57",B64&lt;=Thresholds_Rates!$C$17),$C64*Thresholds_Rates!$F$17,IF(AND(OR($B$2="New Consultant Contract"),$B64&lt;&gt;""),$C64*Thresholds_Rates!$F$17,IF(AND(OR($B$2="Clinical Lecturer / Medical Research Fellow",$B$2="Clinical Consultant - Old Contract (GP)"),$B64&lt;&gt;""),$C64*Thresholds_Rates!$F$17,IF(AND(OR($B$2="APM Level 7",$B$2="R&amp;T Level 7"),G64&lt;&gt;""),$C64*Thresholds_Rates!$F$17,IF(SUMIF(Grades!$A:$A,$B$2,Grades!$BQ:$BQ)=1,$C64*Thresholds_Rates!$F$17,""))))))))</f>
        <v/>
      </c>
      <c r="I64" s="81" t="str">
        <f ca="1">IF($B64="","",IF($C64=0,0,ROUND(($C64-(Thresholds_Rates!$C$5*12))*Thresholds_Rates!$C$10,0)))</f>
        <v/>
      </c>
      <c r="J64" s="81" t="str">
        <f ca="1">IF(B64="","",(C64*Thresholds_Rates!$C$12))</f>
        <v/>
      </c>
      <c r="K64" s="81" t="str">
        <f ca="1">IF(B64="","",IF(AND($B$2="Salary Points 1 to 57",B64&gt;Thresholds_Rates!$C$17),"-",IF(SUMIF(Grades!$A:$A,$B$2,Grades!$BR:$BR)=0,"-",IF(AND($B$2="Salary Points 1 to 57",B64&lt;=Thresholds_Rates!$C$17),$C64*Thresholds_Rates!$F$18,IF(AND(OR($B$2="New Consultant Contract"),$B64&lt;&gt;""),$C64*Thresholds_Rates!$F$18,IF(AND(OR($B$2="Clinical Lecturer / Medical Research Fellow",$B$2="Clinical Consultant - Old Contract (GP)"),$B64&lt;&gt;""),$C64*Thresholds_Rates!$F$18,IF(AND(OR($B$2="APM Level 7",$B$2="R&amp;T Level 7"),I64&lt;&gt;""),$C64*Thresholds_Rates!$F$18,IF(SUMIF(Grades!$A:$A,$B$2,Grades!$BQ:$BQ)=1,$C64*Thresholds_Rates!$F$18,""))))))))</f>
        <v/>
      </c>
      <c r="L64" s="68"/>
      <c r="M64" s="81" t="str">
        <f t="shared" ca="1" si="0"/>
        <v/>
      </c>
      <c r="N64" s="81" t="str">
        <f t="shared" ca="1" si="1"/>
        <v/>
      </c>
      <c r="O64" s="81" t="str">
        <f t="shared" ca="1" si="2"/>
        <v/>
      </c>
      <c r="P64" s="81" t="str">
        <f t="shared" ca="1" si="3"/>
        <v/>
      </c>
      <c r="Q64" s="81" t="str">
        <f t="shared" ca="1" si="4"/>
        <v/>
      </c>
      <c r="S64" s="83" t="str">
        <f ca="1">IF(B64="","",IF($B$2="R&amp;T Level 5 - Clinical Lecturers (Vet School)",SUMIF('Points Lookup'!$V:$V,$B64,'Points Lookup'!$W:$W),IF($B$2="R&amp;T Level 6 - Clinical Associate Professors and Clinical Readers (Vet School)",SUMIF('Points Lookup'!$AC:$AC,$B64,'Points Lookup'!$AD:$AD),"")))</f>
        <v/>
      </c>
      <c r="T64" s="84" t="str">
        <f ca="1">IF(B64="","",IF($B$2="R&amp;T Level 5 - Clinical Lecturers (Vet School)",$C64-SUMIF('Points Lookup'!$V:$V,$B64,'Points Lookup'!$X:$X),IF($B$2="R&amp;T Level 6 - Clinical Associate Professors and Clinical Readers (Vet School)",$C64-SUMIF('Points Lookup'!$AC:$AC,$B64,'Points Lookup'!$AE:$AE),"")))</f>
        <v/>
      </c>
      <c r="U64" s="83" t="str">
        <f ca="1">IF(B64="","",IF($B$2="R&amp;T Level 5 - Clinical Lecturers (Vet School)",SUMIF('Points Lookup'!$V:$V,$B64,'Points Lookup'!$Z:$Z),IF($B$2="R&amp;T Level 6 - Clinical Associate Professors and Clinical Readers (Vet School)",SUMIF('Points Lookup'!$AC:$AC,$B64,'Points Lookup'!$AG:$AG),"")))</f>
        <v/>
      </c>
      <c r="V64" s="84" t="str">
        <f t="shared" ca="1" si="5"/>
        <v/>
      </c>
    </row>
    <row r="65" spans="2:55" s="69" customFormat="1" x14ac:dyDescent="0.25">
      <c r="B65" s="68" t="str">
        <f ca="1">IFERROR(INDEX('Points Lookup'!$A:$A,MATCH($AA67,'Points Lookup'!$AN:$AN,0)),"")</f>
        <v/>
      </c>
      <c r="C65" s="81" t="str">
        <f ca="1">IF(B65="","",SUMIF(INDIRECT("'Points Lookup'!"&amp;VLOOKUP($B$2,Grades!A:BU,72,FALSE)&amp;":"&amp;VLOOKUP($B$2,Grades!A:BU,72,FALSE)),B65,INDIRECT("'Points Lookup'!"&amp;VLOOKUP($B$2,Grades!A:BU,73,FALSE)&amp;":"&amp;VLOOKUP($B$2,Grades!A:BU,73,FALSE))))</f>
        <v/>
      </c>
      <c r="D65" s="81"/>
      <c r="E65" s="81"/>
      <c r="F65" s="81" t="str">
        <f ca="1">IF($B65="","",IF(SUMIF(Grades!$A:$A,$B$2,Grades!$BO:$BO)=0,"-",IF(AND(VLOOKUP($B$2,Grades!$A:$BV,74,FALSE)="YES",B65&lt;Thresholds_Rates!$C$16),"-",$C65*Thresholds_Rates!$F$15)))</f>
        <v/>
      </c>
      <c r="G65" s="81" t="str">
        <f ca="1">IF(B65="","",IF($B$2="Salary Points 1 to 57","-",IF(SUMIF(Grades!$A:$A,$B$2,Grades!$BP:$BP)=0,"-",IF(AND(OR($B$2="New Consultant Contract"),$B65&lt;&gt;""),$C65*Thresholds_Rates!$F$16,IF(AND(OR($B$2="Clinical Lecturer / Medical Research Fellow",$B$2="Clinical Consultant - Old Contract (GP)"),$B65&lt;&gt;""),$C65*Thresholds_Rates!$F$16,IF(AND(OR($B$2="APM Level 7",$B$2="R&amp;T Level 7"),F65&lt;&gt;""),$C65*Thresholds_Rates!$F$16,IF(SUMIF(Grades!$A:$A,$B$2,Grades!$BP:$BP)=1,$C65*Thresholds_Rates!$F$16,"")))))))</f>
        <v/>
      </c>
      <c r="H65" s="81" t="str">
        <f ca="1">IF(B65="","",IF(SUMIF(Grades!$A:$A,$B$2,Grades!$BQ:$BQ)=0,"-",IF(AND($B$2="Salary Points 1 to 57",B65&gt;Thresholds_Rates!$C$17),"-",IF(AND($B$2="Salary Points 1 to 57",B65&lt;=Thresholds_Rates!$C$17),$C65*Thresholds_Rates!$F$17,IF(AND(OR($B$2="New Consultant Contract"),$B65&lt;&gt;""),$C65*Thresholds_Rates!$F$17,IF(AND(OR($B$2="Clinical Lecturer / Medical Research Fellow",$B$2="Clinical Consultant - Old Contract (GP)"),$B65&lt;&gt;""),$C65*Thresholds_Rates!$F$17,IF(AND(OR($B$2="APM Level 7",$B$2="R&amp;T Level 7"),G65&lt;&gt;""),$C65*Thresholds_Rates!$F$17,IF(SUMIF(Grades!$A:$A,$B$2,Grades!$BQ:$BQ)=1,$C65*Thresholds_Rates!$F$17,""))))))))</f>
        <v/>
      </c>
      <c r="I65" s="81" t="str">
        <f ca="1">IF($B65="","",IF($C65=0,0,ROUND(($C65-(Thresholds_Rates!$C$5*12))*Thresholds_Rates!$C$10,0)))</f>
        <v/>
      </c>
      <c r="J65" s="81" t="str">
        <f ca="1">IF(B65="","",(C65*Thresholds_Rates!$C$12))</f>
        <v/>
      </c>
      <c r="K65" s="81" t="str">
        <f ca="1">IF(B65="","",IF(AND($B$2="Salary Points 1 to 57",B65&gt;Thresholds_Rates!$C$17),"-",IF(SUMIF(Grades!$A:$A,$B$2,Grades!$BR:$BR)=0,"-",IF(AND($B$2="Salary Points 1 to 57",B65&lt;=Thresholds_Rates!$C$17),$C65*Thresholds_Rates!$F$18,IF(AND(OR($B$2="New Consultant Contract"),$B65&lt;&gt;""),$C65*Thresholds_Rates!$F$18,IF(AND(OR($B$2="Clinical Lecturer / Medical Research Fellow",$B$2="Clinical Consultant - Old Contract (GP)"),$B65&lt;&gt;""),$C65*Thresholds_Rates!$F$18,IF(AND(OR($B$2="APM Level 7",$B$2="R&amp;T Level 7"),I65&lt;&gt;""),$C65*Thresholds_Rates!$F$18,IF(SUMIF(Grades!$A:$A,$B$2,Grades!$BQ:$BQ)=1,$C65*Thresholds_Rates!$F$18,""))))))))</f>
        <v/>
      </c>
      <c r="L65" s="68"/>
      <c r="M65" s="81" t="str">
        <f t="shared" ca="1" si="0"/>
        <v/>
      </c>
      <c r="N65" s="81" t="str">
        <f t="shared" ca="1" si="1"/>
        <v/>
      </c>
      <c r="O65" s="81" t="str">
        <f t="shared" ca="1" si="2"/>
        <v/>
      </c>
      <c r="P65" s="81" t="str">
        <f t="shared" ca="1" si="3"/>
        <v/>
      </c>
      <c r="Q65" s="81" t="str">
        <f t="shared" ca="1" si="4"/>
        <v/>
      </c>
      <c r="R65" s="39"/>
      <c r="S65" s="83" t="str">
        <f ca="1">IF(B65="","",IF($B$2="R&amp;T Level 5 - Clinical Lecturers (Vet School)",SUMIF('Points Lookup'!$V:$V,$B65,'Points Lookup'!$W:$W),IF($B$2="R&amp;T Level 6 - Clinical Associate Professors and Clinical Readers (Vet School)",SUMIF('Points Lookup'!$AC:$AC,$B65,'Points Lookup'!$AD:$AD),"")))</f>
        <v/>
      </c>
      <c r="T65" s="84" t="str">
        <f ca="1">IF(B65="","",IF($B$2="R&amp;T Level 5 - Clinical Lecturers (Vet School)",$C65-SUMIF('Points Lookup'!$V:$V,$B65,'Points Lookup'!$X:$X),IF($B$2="R&amp;T Level 6 - Clinical Associate Professors and Clinical Readers (Vet School)",$C65-SUMIF('Points Lookup'!$AC:$AC,$B65,'Points Lookup'!$AE:$AE),"")))</f>
        <v/>
      </c>
      <c r="U65" s="83" t="str">
        <f ca="1">IF(B65="","",IF($B$2="R&amp;T Level 5 - Clinical Lecturers (Vet School)",SUMIF('Points Lookup'!$V:$V,$B65,'Points Lookup'!$Z:$Z),IF($B$2="R&amp;T Level 6 - Clinical Associate Professors and Clinical Readers (Vet School)",SUMIF('Points Lookup'!$AC:$AC,$B65,'Points Lookup'!$AG:$AG),"")))</f>
        <v/>
      </c>
      <c r="V65" s="84" t="str">
        <f t="shared" ca="1" si="5"/>
        <v/>
      </c>
      <c r="Z65" s="39"/>
      <c r="AA65" s="39"/>
      <c r="AB65" s="39"/>
      <c r="AC65" s="39"/>
      <c r="AD65" s="39"/>
      <c r="AE65" s="39"/>
      <c r="AF65" s="39"/>
      <c r="AO65" s="39"/>
      <c r="AP65" s="39"/>
      <c r="AQ65" s="39"/>
      <c r="AR65" s="39"/>
      <c r="AS65" s="39"/>
      <c r="AT65" s="39"/>
      <c r="AU65" s="39"/>
      <c r="AV65" s="39"/>
      <c r="AW65" s="39"/>
      <c r="AX65" s="39"/>
      <c r="AY65" s="39"/>
      <c r="AZ65" s="39"/>
      <c r="BA65" s="39"/>
      <c r="BB65" s="39"/>
      <c r="BC65" s="39"/>
    </row>
    <row r="66" spans="2:55" s="69" customFormat="1" x14ac:dyDescent="0.25">
      <c r="B66" s="68" t="str">
        <f ca="1">IFERROR(INDEX('Points Lookup'!$A:$A,MATCH($AA68,'Points Lookup'!$AN:$AN,0)),"")</f>
        <v/>
      </c>
      <c r="C66" s="81" t="str">
        <f ca="1">IF(B66="","",SUMIF(INDIRECT("'Points Lookup'!"&amp;VLOOKUP($B$2,Grades!A:BU,72,FALSE)&amp;":"&amp;VLOOKUP($B$2,Grades!A:BU,72,FALSE)),B66,INDIRECT("'Points Lookup'!"&amp;VLOOKUP($B$2,Grades!A:BU,73,FALSE)&amp;":"&amp;VLOOKUP($B$2,Grades!A:BU,73,FALSE))))</f>
        <v/>
      </c>
      <c r="D66" s="81"/>
      <c r="E66" s="81"/>
      <c r="F66" s="81" t="str">
        <f ca="1">IF($B66="","",IF(SUMIF(Grades!$A:$A,$B$2,Grades!$BO:$BO)=0,"-",IF(AND(VLOOKUP($B$2,Grades!$A:$BV,74,FALSE)="YES",B66&lt;Thresholds_Rates!$C$16),"-",$C66*Thresholds_Rates!$F$15)))</f>
        <v/>
      </c>
      <c r="G66" s="81" t="str">
        <f ca="1">IF(B66="","",IF($B$2="Salary Points 1 to 57","-",IF(SUMIF(Grades!$A:$A,$B$2,Grades!$BP:$BP)=0,"-",IF(AND(OR($B$2="New Consultant Contract"),$B66&lt;&gt;""),$C66*Thresholds_Rates!$F$16,IF(AND(OR($B$2="Clinical Lecturer / Medical Research Fellow",$B$2="Clinical Consultant - Old Contract (GP)"),$B66&lt;&gt;""),$C66*Thresholds_Rates!$F$16,IF(AND(OR($B$2="APM Level 7",$B$2="R&amp;T Level 7"),F66&lt;&gt;""),$C66*Thresholds_Rates!$F$16,IF(SUMIF(Grades!$A:$A,$B$2,Grades!$BP:$BP)=1,$C66*Thresholds_Rates!$F$16,"")))))))</f>
        <v/>
      </c>
      <c r="H66" s="81" t="str">
        <f ca="1">IF(B66="","",IF(SUMIF(Grades!$A:$A,$B$2,Grades!$BQ:$BQ)=0,"-",IF(AND($B$2="Salary Points 1 to 57",B66&gt;Thresholds_Rates!$C$17),"-",IF(AND($B$2="Salary Points 1 to 57",B66&lt;=Thresholds_Rates!$C$17),$C66*Thresholds_Rates!$F$17,IF(AND(OR($B$2="New Consultant Contract"),$B66&lt;&gt;""),$C66*Thresholds_Rates!$F$17,IF(AND(OR($B$2="Clinical Lecturer / Medical Research Fellow",$B$2="Clinical Consultant - Old Contract (GP)"),$B66&lt;&gt;""),$C66*Thresholds_Rates!$F$17,IF(AND(OR($B$2="APM Level 7",$B$2="R&amp;T Level 7"),G66&lt;&gt;""),$C66*Thresholds_Rates!$F$17,IF(SUMIF(Grades!$A:$A,$B$2,Grades!$BQ:$BQ)=1,$C66*Thresholds_Rates!$F$17,""))))))))</f>
        <v/>
      </c>
      <c r="I66" s="81" t="str">
        <f ca="1">IF($B66="","",IF($C66=0,0,ROUND(($C66-(Thresholds_Rates!$C$5*12))*Thresholds_Rates!$C$10,0)))</f>
        <v/>
      </c>
      <c r="J66" s="81" t="str">
        <f ca="1">IF(B66="","",(C66*Thresholds_Rates!$C$12))</f>
        <v/>
      </c>
      <c r="K66" s="81" t="str">
        <f ca="1">IF(B66="","",IF(AND($B$2="Salary Points 1 to 57",B66&gt;Thresholds_Rates!$C$17),"-",IF(SUMIF(Grades!$A:$A,$B$2,Grades!$BR:$BR)=0,"-",IF(AND($B$2="Salary Points 1 to 57",B66&lt;=Thresholds_Rates!$C$17),$C66*Thresholds_Rates!$F$18,IF(AND(OR($B$2="New Consultant Contract"),$B66&lt;&gt;""),$C66*Thresholds_Rates!$F$18,IF(AND(OR($B$2="Clinical Lecturer / Medical Research Fellow",$B$2="Clinical Consultant - Old Contract (GP)"),$B66&lt;&gt;""),$C66*Thresholds_Rates!$F$18,IF(AND(OR($B$2="APM Level 7",$B$2="R&amp;T Level 7"),I66&lt;&gt;""),$C66*Thresholds_Rates!$F$18,IF(SUMIF(Grades!$A:$A,$B$2,Grades!$BQ:$BQ)=1,$C66*Thresholds_Rates!$F$18,""))))))))</f>
        <v/>
      </c>
      <c r="L66" s="68"/>
      <c r="M66" s="81" t="str">
        <f t="shared" ca="1" si="0"/>
        <v/>
      </c>
      <c r="N66" s="81" t="str">
        <f t="shared" ca="1" si="1"/>
        <v/>
      </c>
      <c r="O66" s="81" t="str">
        <f t="shared" ca="1" si="2"/>
        <v/>
      </c>
      <c r="P66" s="81" t="str">
        <f t="shared" ca="1" si="3"/>
        <v/>
      </c>
      <c r="Q66" s="81" t="str">
        <f t="shared" ca="1" si="4"/>
        <v/>
      </c>
      <c r="R66" s="39"/>
      <c r="S66" s="83" t="str">
        <f ca="1">IF(B66="","",IF($B$2="R&amp;T Level 5 - Clinical Lecturers (Vet School)",SUMIF('Points Lookup'!$V:$V,$B66,'Points Lookup'!$W:$W),IF($B$2="R&amp;T Level 6 - Clinical Associate Professors and Clinical Readers (Vet School)",SUMIF('Points Lookup'!$AC:$AC,$B66,'Points Lookup'!$AD:$AD),"")))</f>
        <v/>
      </c>
      <c r="T66" s="84" t="str">
        <f ca="1">IF(B66="","",IF($B$2="R&amp;T Level 5 - Clinical Lecturers (Vet School)",$C66-SUMIF('Points Lookup'!$V:$V,$B66,'Points Lookup'!$X:$X),IF($B$2="R&amp;T Level 6 - Clinical Associate Professors and Clinical Readers (Vet School)",$C66-SUMIF('Points Lookup'!$AC:$AC,$B66,'Points Lookup'!$AE:$AE),"")))</f>
        <v/>
      </c>
      <c r="U66" s="83" t="str">
        <f ca="1">IF(B66="","",IF($B$2="R&amp;T Level 5 - Clinical Lecturers (Vet School)",SUMIF('Points Lookup'!$V:$V,$B66,'Points Lookup'!$Z:$Z),IF($B$2="R&amp;T Level 6 - Clinical Associate Professors and Clinical Readers (Vet School)",SUMIF('Points Lookup'!$AC:$AC,$B66,'Points Lookup'!$AG:$AG),"")))</f>
        <v/>
      </c>
      <c r="V66" s="84" t="str">
        <f t="shared" ca="1" si="5"/>
        <v/>
      </c>
      <c r="Z66" s="39"/>
      <c r="AA66" s="39"/>
      <c r="AB66" s="39"/>
      <c r="AC66" s="39"/>
      <c r="AD66" s="39"/>
      <c r="AE66" s="39"/>
      <c r="AF66" s="39"/>
      <c r="AO66" s="39"/>
      <c r="AP66" s="39"/>
      <c r="AQ66" s="39"/>
      <c r="AR66" s="39"/>
      <c r="AS66" s="39"/>
      <c r="AT66" s="39"/>
      <c r="AU66" s="39"/>
      <c r="AV66" s="39"/>
      <c r="AW66" s="39"/>
      <c r="AX66" s="39"/>
      <c r="AY66" s="39"/>
      <c r="AZ66" s="39"/>
      <c r="BA66" s="39"/>
      <c r="BB66" s="39"/>
      <c r="BC66" s="39"/>
    </row>
    <row r="67" spans="2:55" s="69" customFormat="1" x14ac:dyDescent="0.25">
      <c r="B67" s="68" t="str">
        <f ca="1">IFERROR(INDEX('Points Lookup'!$A:$A,MATCH($AA69,'Points Lookup'!$AN:$AN,0)),"")</f>
        <v/>
      </c>
      <c r="C67" s="81" t="str">
        <f ca="1">IF(B67="","",SUMIF(INDIRECT("'Points Lookup'!"&amp;VLOOKUP($B$2,Grades!A:BU,72,FALSE)&amp;":"&amp;VLOOKUP($B$2,Grades!A:BU,72,FALSE)),B67,INDIRECT("'Points Lookup'!"&amp;VLOOKUP($B$2,Grades!A:BU,73,FALSE)&amp;":"&amp;VLOOKUP($B$2,Grades!A:BU,73,FALSE))))</f>
        <v/>
      </c>
      <c r="D67" s="81"/>
      <c r="E67" s="81"/>
      <c r="F67" s="81" t="str">
        <f ca="1">IF($B67="","",IF(SUMIF(Grades!$A:$A,$B$2,Grades!$BO:$BO)=0,"-",IF(AND(VLOOKUP($B$2,Grades!$A:$BV,74,FALSE)="YES",B67&lt;Thresholds_Rates!$C$16),"-",$C67*Thresholds_Rates!$F$15)))</f>
        <v/>
      </c>
      <c r="G67" s="81" t="str">
        <f ca="1">IF(B67="","",IF($B$2="Salary Points 1 to 57","-",IF(SUMIF(Grades!$A:$A,$B$2,Grades!$BP:$BP)=0,"-",IF(AND(OR($B$2="New Consultant Contract"),$B67&lt;&gt;""),$C67*Thresholds_Rates!$F$16,IF(AND(OR($B$2="Clinical Lecturer / Medical Research Fellow",$B$2="Clinical Consultant - Old Contract (GP)"),$B67&lt;&gt;""),$C67*Thresholds_Rates!$F$16,IF(AND(OR($B$2="APM Level 7",$B$2="R&amp;T Level 7"),F67&lt;&gt;""),$C67*Thresholds_Rates!$F$16,IF(SUMIF(Grades!$A:$A,$B$2,Grades!$BP:$BP)=1,$C67*Thresholds_Rates!$F$16,"")))))))</f>
        <v/>
      </c>
      <c r="H67" s="81" t="str">
        <f ca="1">IF(B67="","",IF(SUMIF(Grades!$A:$A,$B$2,Grades!$BQ:$BQ)=0,"-",IF(AND($B$2="Salary Points 1 to 57",B67&gt;Thresholds_Rates!$C$17),"-",IF(AND($B$2="Salary Points 1 to 57",B67&lt;=Thresholds_Rates!$C$17),$C67*Thresholds_Rates!$F$17,IF(AND(OR($B$2="New Consultant Contract"),$B67&lt;&gt;""),$C67*Thresholds_Rates!$F$17,IF(AND(OR($B$2="Clinical Lecturer / Medical Research Fellow",$B$2="Clinical Consultant - Old Contract (GP)"),$B67&lt;&gt;""),$C67*Thresholds_Rates!$F$17,IF(AND(OR($B$2="APM Level 7",$B$2="R&amp;T Level 7"),G67&lt;&gt;""),$C67*Thresholds_Rates!$F$17,IF(SUMIF(Grades!$A:$A,$B$2,Grades!$BQ:$BQ)=1,$C67*Thresholds_Rates!$F$17,""))))))))</f>
        <v/>
      </c>
      <c r="I67" s="81" t="str">
        <f ca="1">IF($B67="","",IF($C67=0,0,ROUND(($C67-(Thresholds_Rates!$C$5*12))*Thresholds_Rates!$C$10,0)))</f>
        <v/>
      </c>
      <c r="J67" s="81" t="str">
        <f ca="1">IF(B67="","",(C67*Thresholds_Rates!$C$12))</f>
        <v/>
      </c>
      <c r="K67" s="81" t="str">
        <f ca="1">IF(B67="","",IF(AND($B$2="Salary Points 1 to 57",B67&gt;Thresholds_Rates!$C$17),"-",IF(SUMIF(Grades!$A:$A,$B$2,Grades!$BR:$BR)=0,"-",IF(AND($B$2="Salary Points 1 to 57",B67&lt;=Thresholds_Rates!$C$17),$C67*Thresholds_Rates!$F$18,IF(AND(OR($B$2="New Consultant Contract"),$B67&lt;&gt;""),$C67*Thresholds_Rates!$F$18,IF(AND(OR($B$2="Clinical Lecturer / Medical Research Fellow",$B$2="Clinical Consultant - Old Contract (GP)"),$B67&lt;&gt;""),$C67*Thresholds_Rates!$F$18,IF(AND(OR($B$2="APM Level 7",$B$2="R&amp;T Level 7"),I67&lt;&gt;""),$C67*Thresholds_Rates!$F$18,IF(SUMIF(Grades!$A:$A,$B$2,Grades!$BQ:$BQ)=1,$C67*Thresholds_Rates!$F$18,""))))))))</f>
        <v/>
      </c>
      <c r="L67" s="68"/>
      <c r="M67" s="81" t="str">
        <f t="shared" ca="1" si="0"/>
        <v/>
      </c>
      <c r="N67" s="81" t="str">
        <f t="shared" ca="1" si="1"/>
        <v/>
      </c>
      <c r="O67" s="81" t="str">
        <f t="shared" ca="1" si="2"/>
        <v/>
      </c>
      <c r="P67" s="81" t="str">
        <f t="shared" ca="1" si="3"/>
        <v/>
      </c>
      <c r="Q67" s="81" t="str">
        <f t="shared" ca="1" si="4"/>
        <v/>
      </c>
      <c r="R67" s="39"/>
      <c r="S67" s="83" t="str">
        <f ca="1">IF(B67="","",IF($B$2="R&amp;T Level 5 - Clinical Lecturers (Vet School)",SUMIF('Points Lookup'!$V:$V,$B67,'Points Lookup'!$W:$W),IF($B$2="R&amp;T Level 6 - Clinical Associate Professors and Clinical Readers (Vet School)",SUMIF('Points Lookup'!$AC:$AC,$B67,'Points Lookup'!$AD:$AD),"")))</f>
        <v/>
      </c>
      <c r="T67" s="84" t="str">
        <f ca="1">IF(B67="","",IF($B$2="R&amp;T Level 5 - Clinical Lecturers (Vet School)",$C67-SUMIF('Points Lookup'!$V:$V,$B67,'Points Lookup'!$X:$X),IF($B$2="R&amp;T Level 6 - Clinical Associate Professors and Clinical Readers (Vet School)",$C67-SUMIF('Points Lookup'!$AC:$AC,$B67,'Points Lookup'!$AE:$AE),"")))</f>
        <v/>
      </c>
      <c r="U67" s="83" t="str">
        <f ca="1">IF(B67="","",IF($B$2="R&amp;T Level 5 - Clinical Lecturers (Vet School)",SUMIF('Points Lookup'!$V:$V,$B67,'Points Lookup'!$Z:$Z),IF($B$2="R&amp;T Level 6 - Clinical Associate Professors and Clinical Readers (Vet School)",SUMIF('Points Lookup'!$AC:$AC,$B67,'Points Lookup'!$AG:$AG),"")))</f>
        <v/>
      </c>
      <c r="V67" s="84" t="str">
        <f t="shared" ca="1" si="5"/>
        <v/>
      </c>
      <c r="Z67" s="39"/>
      <c r="AA67" s="39"/>
      <c r="AB67" s="39"/>
      <c r="AC67" s="39"/>
      <c r="AD67" s="39"/>
      <c r="AE67" s="39"/>
      <c r="AF67" s="39"/>
      <c r="AO67" s="39"/>
      <c r="AP67" s="39"/>
      <c r="AQ67" s="39"/>
      <c r="AR67" s="39"/>
      <c r="AS67" s="39"/>
      <c r="AT67" s="39"/>
      <c r="AU67" s="39"/>
      <c r="AV67" s="39"/>
      <c r="AW67" s="39"/>
      <c r="AX67" s="39"/>
      <c r="AY67" s="39"/>
      <c r="AZ67" s="39"/>
      <c r="BA67" s="39"/>
      <c r="BB67" s="39"/>
      <c r="BC67" s="39"/>
    </row>
    <row r="68" spans="2:55" s="69" customFormat="1" x14ac:dyDescent="0.25">
      <c r="B68" s="68" t="str">
        <f ca="1">IFERROR(INDEX('Points Lookup'!$A:$A,MATCH($AA70,'Points Lookup'!$AN:$AN,0)),"")</f>
        <v/>
      </c>
      <c r="C68" s="81" t="str">
        <f ca="1">IF(B68="","",SUMIF(INDIRECT("'Points Lookup'!"&amp;VLOOKUP($B$2,Grades!A:BU,72,FALSE)&amp;":"&amp;VLOOKUP($B$2,Grades!A:BU,72,FALSE)),B68,INDIRECT("'Points Lookup'!"&amp;VLOOKUP($B$2,Grades!A:BU,73,FALSE)&amp;":"&amp;VLOOKUP($B$2,Grades!A:BU,73,FALSE))))</f>
        <v/>
      </c>
      <c r="D68" s="81"/>
      <c r="E68" s="81"/>
      <c r="F68" s="81" t="str">
        <f ca="1">IF($B68="","",IF(SUMIF(Grades!$A:$A,$B$2,Grades!$BO:$BO)=0,"-",IF(AND(VLOOKUP($B$2,Grades!$A:$BV,74,FALSE)="YES",B68&lt;Thresholds_Rates!$C$16),"-",$C68*Thresholds_Rates!$F$15)))</f>
        <v/>
      </c>
      <c r="G68" s="81" t="str">
        <f ca="1">IF(B68="","",IF($B$2="Salary Points 1 to 57","-",IF(SUMIF(Grades!$A:$A,$B$2,Grades!$BP:$BP)=0,"-",IF(AND(OR($B$2="New Consultant Contract"),$B68&lt;&gt;""),$C68*Thresholds_Rates!$F$16,IF(AND(OR($B$2="Clinical Lecturer / Medical Research Fellow",$B$2="Clinical Consultant - Old Contract (GP)"),$B68&lt;&gt;""),$C68*Thresholds_Rates!$F$16,IF(AND(OR($B$2="APM Level 7",$B$2="R&amp;T Level 7"),F68&lt;&gt;""),$C68*Thresholds_Rates!$F$16,IF(SUMIF(Grades!$A:$A,$B$2,Grades!$BP:$BP)=1,$C68*Thresholds_Rates!$F$16,"")))))))</f>
        <v/>
      </c>
      <c r="H68" s="81" t="str">
        <f ca="1">IF(B68="","",IF(SUMIF(Grades!$A:$A,$B$2,Grades!$BQ:$BQ)=0,"-",IF(AND($B$2="Salary Points 1 to 57",B68&gt;Thresholds_Rates!$C$17),"-",IF(AND($B$2="Salary Points 1 to 57",B68&lt;=Thresholds_Rates!$C$17),$C68*Thresholds_Rates!$F$17,IF(AND(OR($B$2="New Consultant Contract"),$B68&lt;&gt;""),$C68*Thresholds_Rates!$F$17,IF(AND(OR($B$2="Clinical Lecturer / Medical Research Fellow",$B$2="Clinical Consultant - Old Contract (GP)"),$B68&lt;&gt;""),$C68*Thresholds_Rates!$F$17,IF(AND(OR($B$2="APM Level 7",$B$2="R&amp;T Level 7"),G68&lt;&gt;""),$C68*Thresholds_Rates!$F$17,IF(SUMIF(Grades!$A:$A,$B$2,Grades!$BQ:$BQ)=1,$C68*Thresholds_Rates!$F$17,""))))))))</f>
        <v/>
      </c>
      <c r="I68" s="81" t="str">
        <f ca="1">IF($B68="","",IF($C68=0,0,ROUND(($C68-(Thresholds_Rates!$C$5*12))*Thresholds_Rates!$C$10,0)))</f>
        <v/>
      </c>
      <c r="J68" s="81" t="str">
        <f ca="1">IF(B68="","",(C68*Thresholds_Rates!$C$12))</f>
        <v/>
      </c>
      <c r="K68" s="81" t="str">
        <f ca="1">IF(B68="","",IF(AND($B$2="Salary Points 1 to 57",B68&gt;Thresholds_Rates!$C$17),"-",IF(SUMIF(Grades!$A:$A,$B$2,Grades!$BR:$BR)=0,"-",IF(AND($B$2="Salary Points 1 to 57",B68&lt;=Thresholds_Rates!$C$17),$C68*Thresholds_Rates!$F$18,IF(AND(OR($B$2="New Consultant Contract"),$B68&lt;&gt;""),$C68*Thresholds_Rates!$F$18,IF(AND(OR($B$2="Clinical Lecturer / Medical Research Fellow",$B$2="Clinical Consultant - Old Contract (GP)"),$B68&lt;&gt;""),$C68*Thresholds_Rates!$F$18,IF(AND(OR($B$2="APM Level 7",$B$2="R&amp;T Level 7"),I68&lt;&gt;""),$C68*Thresholds_Rates!$F$18,IF(SUMIF(Grades!$A:$A,$B$2,Grades!$BQ:$BQ)=1,$C68*Thresholds_Rates!$F$18,""))))))))</f>
        <v/>
      </c>
      <c r="L68" s="68"/>
      <c r="M68" s="81" t="str">
        <f t="shared" ca="1" si="0"/>
        <v/>
      </c>
      <c r="N68" s="81" t="str">
        <f t="shared" ca="1" si="1"/>
        <v/>
      </c>
      <c r="O68" s="81" t="str">
        <f t="shared" ca="1" si="2"/>
        <v/>
      </c>
      <c r="P68" s="81" t="str">
        <f t="shared" ca="1" si="3"/>
        <v/>
      </c>
      <c r="Q68" s="81" t="str">
        <f t="shared" ca="1" si="4"/>
        <v/>
      </c>
      <c r="R68" s="39"/>
      <c r="S68" s="83" t="str">
        <f ca="1">IF(B68="","",IF($B$2="R&amp;T Level 5 - Clinical Lecturers (Vet School)",SUMIF('Points Lookup'!$V:$V,$B68,'Points Lookup'!$W:$W),IF($B$2="R&amp;T Level 6 - Clinical Associate Professors and Clinical Readers (Vet School)",SUMIF('Points Lookup'!$AC:$AC,$B68,'Points Lookup'!$AD:$AD),"")))</f>
        <v/>
      </c>
      <c r="T68" s="84" t="str">
        <f ca="1">IF(B68="","",IF($B$2="R&amp;T Level 5 - Clinical Lecturers (Vet School)",$C68-SUMIF('Points Lookup'!$V:$V,$B68,'Points Lookup'!$X:$X),IF($B$2="R&amp;T Level 6 - Clinical Associate Professors and Clinical Readers (Vet School)",$C68-SUMIF('Points Lookup'!$AC:$AC,$B68,'Points Lookup'!$AE:$AE),"")))</f>
        <v/>
      </c>
      <c r="U68" s="83" t="str">
        <f ca="1">IF(B68="","",IF($B$2="R&amp;T Level 5 - Clinical Lecturers (Vet School)",SUMIF('Points Lookup'!$V:$V,$B68,'Points Lookup'!$Z:$Z),IF($B$2="R&amp;T Level 6 - Clinical Associate Professors and Clinical Readers (Vet School)",SUMIF('Points Lookup'!$AC:$AC,$B68,'Points Lookup'!$AG:$AG),"")))</f>
        <v/>
      </c>
      <c r="V68" s="84" t="str">
        <f t="shared" ca="1" si="5"/>
        <v/>
      </c>
      <c r="Z68" s="39"/>
      <c r="AA68" s="39"/>
      <c r="AB68" s="39"/>
      <c r="AC68" s="39"/>
      <c r="AD68" s="39"/>
      <c r="AE68" s="39"/>
      <c r="AF68" s="39"/>
      <c r="AO68" s="39"/>
      <c r="AP68" s="39"/>
      <c r="AQ68" s="39"/>
      <c r="AR68" s="39"/>
      <c r="AS68" s="39"/>
      <c r="AT68" s="39"/>
      <c r="AU68" s="39"/>
      <c r="AV68" s="39"/>
      <c r="AW68" s="39"/>
      <c r="AX68" s="39"/>
      <c r="AY68" s="39"/>
      <c r="AZ68" s="39"/>
      <c r="BA68" s="39"/>
      <c r="BB68" s="39"/>
      <c r="BC68" s="39"/>
    </row>
    <row r="69" spans="2:55" s="69" customFormat="1" x14ac:dyDescent="0.25">
      <c r="B69" s="68" t="str">
        <f ca="1">IFERROR(INDEX('Points Lookup'!$A:$A,MATCH($AA71,'Points Lookup'!$AN:$AN,0)),"")</f>
        <v/>
      </c>
      <c r="C69" s="81" t="str">
        <f ca="1">IF(B69="","",SUMIF(INDIRECT("'Points Lookup'!"&amp;VLOOKUP($B$2,Grades!A:BU,72,FALSE)&amp;":"&amp;VLOOKUP($B$2,Grades!A:BU,72,FALSE)),B69,INDIRECT("'Points Lookup'!"&amp;VLOOKUP($B$2,Grades!A:BU,73,FALSE)&amp;":"&amp;VLOOKUP($B$2,Grades!A:BU,73,FALSE))))</f>
        <v/>
      </c>
      <c r="D69" s="81"/>
      <c r="E69" s="81"/>
      <c r="F69" s="81" t="str">
        <f ca="1">IF($B69="","",IF(SUMIF(Grades!$A:$A,$B$2,Grades!$BO:$BO)=0,"-",IF(AND(VLOOKUP($B$2,Grades!$A:$BV,74,FALSE)="YES",B69&lt;Thresholds_Rates!$C$16),"-",$C69*Thresholds_Rates!$F$15)))</f>
        <v/>
      </c>
      <c r="G69" s="81" t="str">
        <f ca="1">IF(B69="","",IF($B$2="Salary Points 1 to 57","-",IF(SUMIF(Grades!$A:$A,$B$2,Grades!$BP:$BP)=0,"-",IF(AND(OR($B$2="New Consultant Contract"),$B69&lt;&gt;""),$C69*Thresholds_Rates!$F$16,IF(AND(OR($B$2="Clinical Lecturer / Medical Research Fellow",$B$2="Clinical Consultant - Old Contract (GP)"),$B69&lt;&gt;""),$C69*Thresholds_Rates!$F$16,IF(AND(OR($B$2="APM Level 7",$B$2="R&amp;T Level 7"),F69&lt;&gt;""),$C69*Thresholds_Rates!$F$16,IF(SUMIF(Grades!$A:$A,$B$2,Grades!$BP:$BP)=1,$C69*Thresholds_Rates!$F$16,"")))))))</f>
        <v/>
      </c>
      <c r="H69" s="81" t="str">
        <f ca="1">IF(B69="","",IF(SUMIF(Grades!$A:$A,$B$2,Grades!$BQ:$BQ)=0,"-",IF(AND($B$2="Salary Points 1 to 57",B69&gt;Thresholds_Rates!$C$17),"-",IF(AND($B$2="Salary Points 1 to 57",B69&lt;=Thresholds_Rates!$C$17),$C69*Thresholds_Rates!$F$17,IF(AND(OR($B$2="New Consultant Contract"),$B69&lt;&gt;""),$C69*Thresholds_Rates!$F$17,IF(AND(OR($B$2="Clinical Lecturer / Medical Research Fellow",$B$2="Clinical Consultant - Old Contract (GP)"),$B69&lt;&gt;""),$C69*Thresholds_Rates!$F$17,IF(AND(OR($B$2="APM Level 7",$B$2="R&amp;T Level 7"),G69&lt;&gt;""),$C69*Thresholds_Rates!$F$17,IF(SUMIF(Grades!$A:$A,$B$2,Grades!$BQ:$BQ)=1,$C69*Thresholds_Rates!$F$17,""))))))))</f>
        <v/>
      </c>
      <c r="I69" s="81" t="str">
        <f ca="1">IF($B69="","",IF($C69=0,0,ROUND(($C69-(Thresholds_Rates!$C$5*12))*Thresholds_Rates!$C$10,0)))</f>
        <v/>
      </c>
      <c r="J69" s="81" t="str">
        <f ca="1">IF(B69="","",(C69*Thresholds_Rates!$C$12))</f>
        <v/>
      </c>
      <c r="K69" s="81" t="str">
        <f ca="1">IF(B69="","",IF(AND($B$2="Salary Points 1 to 57",B69&gt;Thresholds_Rates!$C$17),"-",IF(SUMIF(Grades!$A:$A,$B$2,Grades!$BR:$BR)=0,"-",IF(AND($B$2="Salary Points 1 to 57",B69&lt;=Thresholds_Rates!$C$17),$C69*Thresholds_Rates!$F$18,IF(AND(OR($B$2="New Consultant Contract"),$B69&lt;&gt;""),$C69*Thresholds_Rates!$F$18,IF(AND(OR($B$2="Clinical Lecturer / Medical Research Fellow",$B$2="Clinical Consultant - Old Contract (GP)"),$B69&lt;&gt;""),$C69*Thresholds_Rates!$F$18,IF(AND(OR($B$2="APM Level 7",$B$2="R&amp;T Level 7"),I69&lt;&gt;""),$C69*Thresholds_Rates!$F$18,IF(SUMIF(Grades!$A:$A,$B$2,Grades!$BQ:$BQ)=1,$C69*Thresholds_Rates!$F$18,""))))))))</f>
        <v/>
      </c>
      <c r="L69" s="68"/>
      <c r="M69" s="81" t="str">
        <f t="shared" ca="1" si="0"/>
        <v/>
      </c>
      <c r="N69" s="81" t="str">
        <f t="shared" ca="1" si="1"/>
        <v/>
      </c>
      <c r="O69" s="81" t="str">
        <f t="shared" ca="1" si="2"/>
        <v/>
      </c>
      <c r="P69" s="81" t="str">
        <f t="shared" ca="1" si="3"/>
        <v/>
      </c>
      <c r="Q69" s="81" t="str">
        <f t="shared" ca="1" si="4"/>
        <v/>
      </c>
      <c r="R69" s="39"/>
      <c r="S69" s="83" t="str">
        <f ca="1">IF(B69="","",IF($B$2="R&amp;T Level 5 - Clinical Lecturers (Vet School)",SUMIF('Points Lookup'!$V:$V,$B69,'Points Lookup'!$W:$W),IF($B$2="R&amp;T Level 6 - Clinical Associate Professors and Clinical Readers (Vet School)",SUMIF('Points Lookup'!$AC:$AC,$B69,'Points Lookup'!$AD:$AD),"")))</f>
        <v/>
      </c>
      <c r="T69" s="84" t="str">
        <f ca="1">IF(B69="","",IF($B$2="R&amp;T Level 5 - Clinical Lecturers (Vet School)",$C69-SUMIF('Points Lookup'!$V:$V,$B69,'Points Lookup'!$X:$X),IF($B$2="R&amp;T Level 6 - Clinical Associate Professors and Clinical Readers (Vet School)",$C69-SUMIF('Points Lookup'!$AC:$AC,$B69,'Points Lookup'!$AE:$AE),"")))</f>
        <v/>
      </c>
      <c r="U69" s="83" t="str">
        <f ca="1">IF(B69="","",IF($B$2="R&amp;T Level 5 - Clinical Lecturers (Vet School)",SUMIF('Points Lookup'!$V:$V,$B69,'Points Lookup'!$Z:$Z),IF($B$2="R&amp;T Level 6 - Clinical Associate Professors and Clinical Readers (Vet School)",SUMIF('Points Lookup'!$AC:$AC,$B69,'Points Lookup'!$AG:$AG),"")))</f>
        <v/>
      </c>
      <c r="V69" s="84" t="str">
        <f t="shared" ca="1" si="5"/>
        <v/>
      </c>
      <c r="Z69" s="39"/>
      <c r="AA69" s="39"/>
      <c r="AB69" s="39"/>
      <c r="AC69" s="39"/>
      <c r="AD69" s="39"/>
      <c r="AE69" s="39"/>
      <c r="AF69" s="39"/>
      <c r="AO69" s="39"/>
      <c r="AP69" s="39"/>
      <c r="AQ69" s="39"/>
      <c r="AR69" s="39"/>
      <c r="AS69" s="39"/>
      <c r="AT69" s="39"/>
      <c r="AU69" s="39"/>
      <c r="AV69" s="39"/>
      <c r="AW69" s="39"/>
      <c r="AX69" s="39"/>
      <c r="AY69" s="39"/>
      <c r="AZ69" s="39"/>
      <c r="BA69" s="39"/>
      <c r="BB69" s="39"/>
      <c r="BC69" s="39"/>
    </row>
    <row r="70" spans="2:55" s="69" customFormat="1" x14ac:dyDescent="0.25">
      <c r="B70" s="68" t="str">
        <f ca="1">IFERROR(INDEX('Points Lookup'!$A:$A,MATCH($AA72,'Points Lookup'!$AN:$AN,0)),"")</f>
        <v/>
      </c>
      <c r="C70" s="81" t="str">
        <f ca="1">IF(B70="","",SUMIF(INDIRECT("'Points Lookup'!"&amp;VLOOKUP($B$2,Grades!A:BU,72,FALSE)&amp;":"&amp;VLOOKUP($B$2,Grades!A:BU,72,FALSE)),B70,INDIRECT("'Points Lookup'!"&amp;VLOOKUP($B$2,Grades!A:BU,73,FALSE)&amp;":"&amp;VLOOKUP($B$2,Grades!A:BU,73,FALSE))))</f>
        <v/>
      </c>
      <c r="D70" s="81"/>
      <c r="E70" s="81"/>
      <c r="F70" s="81" t="str">
        <f ca="1">IF($B70="","",IF(SUMIF(Grades!$A:$A,$B$2,Grades!$BO:$BO)=0,"-",IF(AND(VLOOKUP($B$2,Grades!$A:$BV,74,FALSE)="YES",B70&lt;Thresholds_Rates!$C$16),"-",$C70*Thresholds_Rates!$F$15)))</f>
        <v/>
      </c>
      <c r="G70" s="81" t="str">
        <f ca="1">IF(B70="","",IF($B$2="Salary Points 1 to 57","-",IF(SUMIF(Grades!$A:$A,$B$2,Grades!$BP:$BP)=0,"-",IF(AND(OR($B$2="New Consultant Contract"),$B70&lt;&gt;""),$C70*Thresholds_Rates!$F$16,IF(AND(OR($B$2="Clinical Lecturer / Medical Research Fellow",$B$2="Clinical Consultant - Old Contract (GP)"),$B70&lt;&gt;""),$C70*Thresholds_Rates!$F$16,IF(AND(OR($B$2="APM Level 7",$B$2="R&amp;T Level 7"),F70&lt;&gt;""),$C70*Thresholds_Rates!$F$16,IF(SUMIF(Grades!$A:$A,$B$2,Grades!$BP:$BP)=1,$C70*Thresholds_Rates!$F$16,"")))))))</f>
        <v/>
      </c>
      <c r="H70" s="81" t="str">
        <f ca="1">IF(B70="","",IF(SUMIF(Grades!$A:$A,$B$2,Grades!$BQ:$BQ)=0,"-",IF(AND($B$2="Salary Points 1 to 57",B70&gt;Thresholds_Rates!$C$17),"-",IF(AND($B$2="Salary Points 1 to 57",B70&lt;=Thresholds_Rates!$C$17),$C70*Thresholds_Rates!$F$17,IF(AND(OR($B$2="New Consultant Contract"),$B70&lt;&gt;""),$C70*Thresholds_Rates!$F$17,IF(AND(OR($B$2="Clinical Lecturer / Medical Research Fellow",$B$2="Clinical Consultant - Old Contract (GP)"),$B70&lt;&gt;""),$C70*Thresholds_Rates!$F$17,IF(AND(OR($B$2="APM Level 7",$B$2="R&amp;T Level 7"),G70&lt;&gt;""),$C70*Thresholds_Rates!$F$17,IF(SUMIF(Grades!$A:$A,$B$2,Grades!$BQ:$BQ)=1,$C70*Thresholds_Rates!$F$17,""))))))))</f>
        <v/>
      </c>
      <c r="I70" s="81" t="str">
        <f ca="1">IF($B70="","",IF($C70=0,0,ROUND(($C70-(Thresholds_Rates!$C$5*12))*Thresholds_Rates!$C$10,0)))</f>
        <v/>
      </c>
      <c r="J70" s="81" t="str">
        <f ca="1">IF(B70="","",(C70*Thresholds_Rates!$C$12))</f>
        <v/>
      </c>
      <c r="K70" s="81" t="str">
        <f ca="1">IF(B70="","",IF(AND($B$2="Salary Points 1 to 57",B70&gt;Thresholds_Rates!$C$17),"-",IF(SUMIF(Grades!$A:$A,$B$2,Grades!$BR:$BR)=0,"-",IF(AND($B$2="Salary Points 1 to 57",B70&lt;=Thresholds_Rates!$C$17),$C70*Thresholds_Rates!$F$18,IF(AND(OR($B$2="New Consultant Contract"),$B70&lt;&gt;""),$C70*Thresholds_Rates!$F$18,IF(AND(OR($B$2="Clinical Lecturer / Medical Research Fellow",$B$2="Clinical Consultant - Old Contract (GP)"),$B70&lt;&gt;""),$C70*Thresholds_Rates!$F$18,IF(AND(OR($B$2="APM Level 7",$B$2="R&amp;T Level 7"),I70&lt;&gt;""),$C70*Thresholds_Rates!$F$18,IF(SUMIF(Grades!$A:$A,$B$2,Grades!$BQ:$BQ)=1,$C70*Thresholds_Rates!$F$18,""))))))))</f>
        <v/>
      </c>
      <c r="L70" s="68"/>
      <c r="M70" s="81" t="str">
        <f t="shared" ca="1" si="0"/>
        <v/>
      </c>
      <c r="N70" s="81" t="str">
        <f t="shared" ca="1" si="1"/>
        <v/>
      </c>
      <c r="O70" s="81" t="str">
        <f t="shared" ca="1" si="2"/>
        <v/>
      </c>
      <c r="P70" s="81" t="str">
        <f t="shared" ca="1" si="3"/>
        <v/>
      </c>
      <c r="Q70" s="81" t="str">
        <f t="shared" ca="1" si="4"/>
        <v/>
      </c>
      <c r="R70" s="39"/>
      <c r="S70" s="83" t="str">
        <f ca="1">IF(B70="","",IF($B$2="R&amp;T Level 5 - Clinical Lecturers (Vet School)",SUMIF('Points Lookup'!$V:$V,$B70,'Points Lookup'!$W:$W),IF($B$2="R&amp;T Level 6 - Clinical Associate Professors and Clinical Readers (Vet School)",SUMIF('Points Lookup'!$AC:$AC,$B70,'Points Lookup'!$AD:$AD),"")))</f>
        <v/>
      </c>
      <c r="T70" s="84" t="str">
        <f ca="1">IF(B70="","",IF($B$2="R&amp;T Level 5 - Clinical Lecturers (Vet School)",$C70-SUMIF('Points Lookup'!$V:$V,$B70,'Points Lookup'!$X:$X),IF($B$2="R&amp;T Level 6 - Clinical Associate Professors and Clinical Readers (Vet School)",$C70-SUMIF('Points Lookup'!$AC:$AC,$B70,'Points Lookup'!$AE:$AE),"")))</f>
        <v/>
      </c>
      <c r="U70" s="83" t="str">
        <f ca="1">IF(B70="","",IF($B$2="R&amp;T Level 5 - Clinical Lecturers (Vet School)",SUMIF('Points Lookup'!$V:$V,$B70,'Points Lookup'!$Z:$Z),IF($B$2="R&amp;T Level 6 - Clinical Associate Professors and Clinical Readers (Vet School)",SUMIF('Points Lookup'!$AC:$AC,$B70,'Points Lookup'!$AG:$AG),"")))</f>
        <v/>
      </c>
      <c r="V70" s="84" t="str">
        <f t="shared" ca="1" si="5"/>
        <v/>
      </c>
      <c r="Z70" s="39"/>
      <c r="AA70" s="39"/>
      <c r="AB70" s="39"/>
      <c r="AC70" s="39"/>
      <c r="AD70" s="39"/>
      <c r="AE70" s="39"/>
      <c r="AF70" s="39"/>
      <c r="AO70" s="39"/>
      <c r="AP70" s="39"/>
      <c r="AQ70" s="39"/>
      <c r="AR70" s="39"/>
      <c r="AS70" s="39"/>
      <c r="AT70" s="39"/>
      <c r="AU70" s="39"/>
      <c r="AV70" s="39"/>
      <c r="AW70" s="39"/>
      <c r="AX70" s="39"/>
      <c r="AY70" s="39"/>
      <c r="AZ70" s="39"/>
      <c r="BA70" s="39"/>
      <c r="BB70" s="39"/>
      <c r="BC70" s="39"/>
    </row>
    <row r="71" spans="2:55" s="69" customFormat="1" x14ac:dyDescent="0.25">
      <c r="B71" s="68" t="str">
        <f ca="1">IFERROR(INDEX('Points Lookup'!$A:$A,MATCH($AA73,'Points Lookup'!$AN:$AN,0)),"")</f>
        <v/>
      </c>
      <c r="C71" s="81" t="str">
        <f ca="1">IF(B71="","",SUMIF(INDIRECT("'Points Lookup'!"&amp;VLOOKUP($B$2,Grades!A:BU,72,FALSE)&amp;":"&amp;VLOOKUP($B$2,Grades!A:BU,72,FALSE)),B71,INDIRECT("'Points Lookup'!"&amp;VLOOKUP($B$2,Grades!A:BU,73,FALSE)&amp;":"&amp;VLOOKUP($B$2,Grades!A:BU,73,FALSE))))</f>
        <v/>
      </c>
      <c r="D71" s="81"/>
      <c r="E71" s="81"/>
      <c r="F71" s="81" t="str">
        <f ca="1">IF($B71="","",IF(SUMIF(Grades!$A:$A,$B$2,Grades!$BO:$BO)=0,"-",IF(AND(VLOOKUP($B$2,Grades!$A:$BV,74,FALSE)="YES",B71&lt;Thresholds_Rates!$C$16),"-",$C71*Thresholds_Rates!$F$15)))</f>
        <v/>
      </c>
      <c r="G71" s="81" t="str">
        <f ca="1">IF(B71="","",IF($B$2="Salary Points 1 to 57","-",IF(SUMIF(Grades!$A:$A,$B$2,Grades!$BP:$BP)=0,"-",IF(AND(OR($B$2="New Consultant Contract"),$B71&lt;&gt;""),$C71*Thresholds_Rates!$F$16,IF(AND(OR($B$2="Clinical Lecturer / Medical Research Fellow",$B$2="Clinical Consultant - Old Contract (GP)"),$B71&lt;&gt;""),$C71*Thresholds_Rates!$F$16,IF(AND(OR($B$2="APM Level 7",$B$2="R&amp;T Level 7"),F71&lt;&gt;""),$C71*Thresholds_Rates!$F$16,IF(SUMIF(Grades!$A:$A,$B$2,Grades!$BP:$BP)=1,$C71*Thresholds_Rates!$F$16,"")))))))</f>
        <v/>
      </c>
      <c r="H71" s="81" t="str">
        <f ca="1">IF(B71="","",IF(SUMIF(Grades!$A:$A,$B$2,Grades!$BQ:$BQ)=0,"-",IF(AND($B$2="Salary Points 1 to 57",B71&gt;Thresholds_Rates!$C$17),"-",IF(AND($B$2="Salary Points 1 to 57",B71&lt;=Thresholds_Rates!$C$17),$C71*Thresholds_Rates!$F$17,IF(AND(OR($B$2="New Consultant Contract"),$B71&lt;&gt;""),$C71*Thresholds_Rates!$F$17,IF(AND(OR($B$2="Clinical Lecturer / Medical Research Fellow",$B$2="Clinical Consultant - Old Contract (GP)"),$B71&lt;&gt;""),$C71*Thresholds_Rates!$F$17,IF(AND(OR($B$2="APM Level 7",$B$2="R&amp;T Level 7"),G71&lt;&gt;""),$C71*Thresholds_Rates!$F$17,IF(SUMIF(Grades!$A:$A,$B$2,Grades!$BQ:$BQ)=1,$C71*Thresholds_Rates!$F$17,""))))))))</f>
        <v/>
      </c>
      <c r="I71" s="81" t="str">
        <f ca="1">IF($B71="","",IF($C71=0,0,ROUND(($C71-(Thresholds_Rates!$C$5*12))*Thresholds_Rates!$C$10,0)))</f>
        <v/>
      </c>
      <c r="J71" s="81" t="str">
        <f ca="1">IF(B71="","",(C71*Thresholds_Rates!$C$12))</f>
        <v/>
      </c>
      <c r="K71" s="81" t="str">
        <f ca="1">IF(B71="","",IF(AND($B$2="Salary Points 1 to 57",B71&gt;Thresholds_Rates!$C$17),"-",IF(SUMIF(Grades!$A:$A,$B$2,Grades!$BR:$BR)=0,"-",IF(AND($B$2="Salary Points 1 to 57",B71&lt;=Thresholds_Rates!$C$17),$C71*Thresholds_Rates!$F$18,IF(AND(OR($B$2="New Consultant Contract"),$B71&lt;&gt;""),$C71*Thresholds_Rates!$F$18,IF(AND(OR($B$2="Clinical Lecturer / Medical Research Fellow",$B$2="Clinical Consultant - Old Contract (GP)"),$B71&lt;&gt;""),$C71*Thresholds_Rates!$F$18,IF(AND(OR($B$2="APM Level 7",$B$2="R&amp;T Level 7"),I71&lt;&gt;""),$C71*Thresholds_Rates!$F$18,IF(SUMIF(Grades!$A:$A,$B$2,Grades!$BQ:$BQ)=1,$C71*Thresholds_Rates!$F$18,""))))))))</f>
        <v/>
      </c>
      <c r="L71" s="68"/>
      <c r="M71" s="81" t="str">
        <f t="shared" ref="M71:M134" ca="1" si="6">IF(B71="","",IF(F71="-","-",$C71+$I71+F71+J71))</f>
        <v/>
      </c>
      <c r="N71" s="81" t="str">
        <f t="shared" ref="N71:N134" ca="1" si="7">IF(B71="","",IF(G71="-","-",$C71+$I71+G71+J71))</f>
        <v/>
      </c>
      <c r="O71" s="81" t="str">
        <f t="shared" ref="O71:O134" ca="1" si="8">IF(B71="","",IF(H71="-","-",$C71+$I71+H71+J71))</f>
        <v/>
      </c>
      <c r="P71" s="81" t="str">
        <f t="shared" ref="P71:P134" ca="1" si="9">IF(B71="","",IF(K71="-","-",$C71+$I71+K71+J71))</f>
        <v/>
      </c>
      <c r="Q71" s="81" t="str">
        <f t="shared" ref="Q71:Q134" ca="1" si="10">IF(B71="","",C71+I71+J71)</f>
        <v/>
      </c>
      <c r="R71" s="39"/>
      <c r="S71" s="83" t="str">
        <f ca="1">IF(B71="","",IF($B$2="R&amp;T Level 5 - Clinical Lecturers (Vet School)",SUMIF('Points Lookup'!$V:$V,$B71,'Points Lookup'!$W:$W),IF($B$2="R&amp;T Level 6 - Clinical Associate Professors and Clinical Readers (Vet School)",SUMIF('Points Lookup'!$AC:$AC,$B71,'Points Lookup'!$AD:$AD),"")))</f>
        <v/>
      </c>
      <c r="T71" s="84" t="str">
        <f ca="1">IF(B71="","",IF($B$2="R&amp;T Level 5 - Clinical Lecturers (Vet School)",$C71-SUMIF('Points Lookup'!$V:$V,$B71,'Points Lookup'!$X:$X),IF($B$2="R&amp;T Level 6 - Clinical Associate Professors and Clinical Readers (Vet School)",$C71-SUMIF('Points Lookup'!$AC:$AC,$B71,'Points Lookup'!$AE:$AE),"")))</f>
        <v/>
      </c>
      <c r="U71" s="83" t="str">
        <f ca="1">IF(B71="","",IF($B$2="R&amp;T Level 5 - Clinical Lecturers (Vet School)",SUMIF('Points Lookup'!$V:$V,$B71,'Points Lookup'!$Z:$Z),IF($B$2="R&amp;T Level 6 - Clinical Associate Professors and Clinical Readers (Vet School)",SUMIF('Points Lookup'!$AC:$AC,$B71,'Points Lookup'!$AG:$AG),"")))</f>
        <v/>
      </c>
      <c r="V71" s="84" t="str">
        <f t="shared" ref="V71:V101" ca="1" si="11">IF(B71="","",IF($B$2="R&amp;T Level 5 - Clinical Lecturers (Vet School)",ROUND(C71*U71,0),IF($B$2="R&amp;T Level 6 - Clinical Associate Professors and Clinical Readers (Vet School)",ROUND(C71*U71,0),"")))</f>
        <v/>
      </c>
      <c r="Z71" s="39"/>
      <c r="AA71" s="39"/>
      <c r="AB71" s="39"/>
      <c r="AC71" s="39"/>
      <c r="AD71" s="39"/>
      <c r="AE71" s="39"/>
      <c r="AF71" s="39"/>
      <c r="AO71" s="39"/>
      <c r="AP71" s="39"/>
      <c r="AQ71" s="39"/>
      <c r="AR71" s="39"/>
      <c r="AS71" s="39"/>
      <c r="AT71" s="39"/>
      <c r="AU71" s="39"/>
      <c r="AV71" s="39"/>
      <c r="AW71" s="39"/>
      <c r="AX71" s="39"/>
      <c r="AY71" s="39"/>
      <c r="AZ71" s="39"/>
      <c r="BA71" s="39"/>
      <c r="BB71" s="39"/>
      <c r="BC71" s="39"/>
    </row>
    <row r="72" spans="2:55" s="69" customFormat="1" x14ac:dyDescent="0.25">
      <c r="B72" s="68" t="str">
        <f ca="1">IFERROR(INDEX('Points Lookup'!$A:$A,MATCH($AA74,'Points Lookup'!$AN:$AN,0)),"")</f>
        <v/>
      </c>
      <c r="C72" s="81" t="str">
        <f ca="1">IF(B72="","",SUMIF(INDIRECT("'Points Lookup'!"&amp;VLOOKUP($B$2,Grades!A:BU,72,FALSE)&amp;":"&amp;VLOOKUP($B$2,Grades!A:BU,72,FALSE)),B72,INDIRECT("'Points Lookup'!"&amp;VLOOKUP($B$2,Grades!A:BU,73,FALSE)&amp;":"&amp;VLOOKUP($B$2,Grades!A:BU,73,FALSE))))</f>
        <v/>
      </c>
      <c r="D72" s="81"/>
      <c r="E72" s="81"/>
      <c r="F72" s="81" t="str">
        <f ca="1">IF($B72="","",IF(SUMIF(Grades!$A:$A,$B$2,Grades!$BO:$BO)=0,"-",IF(AND(VLOOKUP($B$2,Grades!$A:$BV,74,FALSE)="YES",B72&lt;Thresholds_Rates!$C$16),"-",$C72*Thresholds_Rates!$F$15)))</f>
        <v/>
      </c>
      <c r="G72" s="81" t="str">
        <f ca="1">IF(B72="","",IF($B$2="Salary Points 1 to 57","-",IF(SUMIF(Grades!$A:$A,$B$2,Grades!$BP:$BP)=0,"-",IF(AND(OR($B$2="New Consultant Contract"),$B72&lt;&gt;""),$C72*Thresholds_Rates!$F$16,IF(AND(OR($B$2="Clinical Lecturer / Medical Research Fellow",$B$2="Clinical Consultant - Old Contract (GP)"),$B72&lt;&gt;""),$C72*Thresholds_Rates!$F$16,IF(AND(OR($B$2="APM Level 7",$B$2="R&amp;T Level 7"),F72&lt;&gt;""),$C72*Thresholds_Rates!$F$16,IF(SUMIF(Grades!$A:$A,$B$2,Grades!$BP:$BP)=1,$C72*Thresholds_Rates!$F$16,"")))))))</f>
        <v/>
      </c>
      <c r="H72" s="81" t="str">
        <f ca="1">IF(B72="","",IF(SUMIF(Grades!$A:$A,$B$2,Grades!$BQ:$BQ)=0,"-",IF(AND($B$2="Salary Points 1 to 57",B72&gt;Thresholds_Rates!$C$17),"-",IF(AND($B$2="Salary Points 1 to 57",B72&lt;=Thresholds_Rates!$C$17),$C72*Thresholds_Rates!$F$17,IF(AND(OR($B$2="New Consultant Contract"),$B72&lt;&gt;""),$C72*Thresholds_Rates!$F$17,IF(AND(OR($B$2="Clinical Lecturer / Medical Research Fellow",$B$2="Clinical Consultant - Old Contract (GP)"),$B72&lt;&gt;""),$C72*Thresholds_Rates!$F$17,IF(AND(OR($B$2="APM Level 7",$B$2="R&amp;T Level 7"),G72&lt;&gt;""),$C72*Thresholds_Rates!$F$17,IF(SUMIF(Grades!$A:$A,$B$2,Grades!$BQ:$BQ)=1,$C72*Thresholds_Rates!$F$17,""))))))))</f>
        <v/>
      </c>
      <c r="I72" s="81" t="str">
        <f ca="1">IF($B72="","",IF($C72=0,0,ROUND(($C72-(Thresholds_Rates!$C$5*12))*Thresholds_Rates!$C$10,0)))</f>
        <v/>
      </c>
      <c r="J72" s="81" t="str">
        <f ca="1">IF(B72="","",(C72*Thresholds_Rates!$C$12))</f>
        <v/>
      </c>
      <c r="K72" s="81" t="str">
        <f ca="1">IF(B72="","",IF(AND($B$2="Salary Points 1 to 57",B72&gt;Thresholds_Rates!$C$17),"-",IF(SUMIF(Grades!$A:$A,$B$2,Grades!$BR:$BR)=0,"-",IF(AND($B$2="Salary Points 1 to 57",B72&lt;=Thresholds_Rates!$C$17),$C72*Thresholds_Rates!$F$18,IF(AND(OR($B$2="New Consultant Contract"),$B72&lt;&gt;""),$C72*Thresholds_Rates!$F$18,IF(AND(OR($B$2="Clinical Lecturer / Medical Research Fellow",$B$2="Clinical Consultant - Old Contract (GP)"),$B72&lt;&gt;""),$C72*Thresholds_Rates!$F$18,IF(AND(OR($B$2="APM Level 7",$B$2="R&amp;T Level 7"),I72&lt;&gt;""),$C72*Thresholds_Rates!$F$18,IF(SUMIF(Grades!$A:$A,$B$2,Grades!$BQ:$BQ)=1,$C72*Thresholds_Rates!$F$18,""))))))))</f>
        <v/>
      </c>
      <c r="L72" s="68"/>
      <c r="M72" s="81" t="str">
        <f t="shared" ca="1" si="6"/>
        <v/>
      </c>
      <c r="N72" s="81" t="str">
        <f t="shared" ca="1" si="7"/>
        <v/>
      </c>
      <c r="O72" s="81" t="str">
        <f t="shared" ca="1" si="8"/>
        <v/>
      </c>
      <c r="P72" s="81" t="str">
        <f t="shared" ca="1" si="9"/>
        <v/>
      </c>
      <c r="Q72" s="81" t="str">
        <f t="shared" ca="1" si="10"/>
        <v/>
      </c>
      <c r="R72" s="39"/>
      <c r="S72" s="83" t="str">
        <f ca="1">IF(B72="","",IF($B$2="R&amp;T Level 5 - Clinical Lecturers (Vet School)",SUMIF('Points Lookup'!$V:$V,$B72,'Points Lookup'!$W:$W),IF($B$2="R&amp;T Level 6 - Clinical Associate Professors and Clinical Readers (Vet School)",SUMIF('Points Lookup'!$AC:$AC,$B72,'Points Lookup'!$AD:$AD),"")))</f>
        <v/>
      </c>
      <c r="T72" s="84" t="str">
        <f ca="1">IF(B72="","",IF($B$2="R&amp;T Level 5 - Clinical Lecturers (Vet School)",$C72-SUMIF('Points Lookup'!$V:$V,$B72,'Points Lookup'!$X:$X),IF($B$2="R&amp;T Level 6 - Clinical Associate Professors and Clinical Readers (Vet School)",$C72-SUMIF('Points Lookup'!$AC:$AC,$B72,'Points Lookup'!$AE:$AE),"")))</f>
        <v/>
      </c>
      <c r="U72" s="83" t="str">
        <f ca="1">IF(B72="","",IF($B$2="R&amp;T Level 5 - Clinical Lecturers (Vet School)",SUMIF('Points Lookup'!$V:$V,$B72,'Points Lookup'!$Z:$Z),IF($B$2="R&amp;T Level 6 - Clinical Associate Professors and Clinical Readers (Vet School)",SUMIF('Points Lookup'!$AC:$AC,$B72,'Points Lookup'!$AG:$AG),"")))</f>
        <v/>
      </c>
      <c r="V72" s="84" t="str">
        <f t="shared" ca="1" si="11"/>
        <v/>
      </c>
      <c r="Z72" s="39"/>
      <c r="AA72" s="39"/>
      <c r="AB72" s="39"/>
      <c r="AC72" s="39"/>
      <c r="AD72" s="39"/>
      <c r="AE72" s="39"/>
      <c r="AF72" s="39"/>
      <c r="AO72" s="39"/>
      <c r="AP72" s="39"/>
      <c r="AQ72" s="39"/>
      <c r="AR72" s="39"/>
      <c r="AS72" s="39"/>
      <c r="AT72" s="39"/>
      <c r="AU72" s="39"/>
      <c r="AV72" s="39"/>
      <c r="AW72" s="39"/>
      <c r="AX72" s="39"/>
      <c r="AY72" s="39"/>
      <c r="AZ72" s="39"/>
      <c r="BA72" s="39"/>
      <c r="BB72" s="39"/>
      <c r="BC72" s="39"/>
    </row>
    <row r="73" spans="2:55" s="69" customFormat="1" x14ac:dyDescent="0.25">
      <c r="B73" s="68" t="str">
        <f ca="1">IFERROR(INDEX('Points Lookup'!$A:$A,MATCH($AA75,'Points Lookup'!$AN:$AN,0)),"")</f>
        <v/>
      </c>
      <c r="C73" s="81" t="str">
        <f ca="1">IF(B73="","",SUMIF(INDIRECT("'Points Lookup'!"&amp;VLOOKUP($B$2,Grades!A:BU,72,FALSE)&amp;":"&amp;VLOOKUP($B$2,Grades!A:BU,72,FALSE)),B73,INDIRECT("'Points Lookup'!"&amp;VLOOKUP($B$2,Grades!A:BU,73,FALSE)&amp;":"&amp;VLOOKUP($B$2,Grades!A:BU,73,FALSE))))</f>
        <v/>
      </c>
      <c r="D73" s="81"/>
      <c r="E73" s="81"/>
      <c r="F73" s="81" t="str">
        <f ca="1">IF($B73="","",IF(SUMIF(Grades!$A:$A,$B$2,Grades!$BO:$BO)=0,"-",IF(AND(VLOOKUP($B$2,Grades!$A:$BV,74,FALSE)="YES",B73&lt;Thresholds_Rates!$C$16),"-",$C73*Thresholds_Rates!$F$15)))</f>
        <v/>
      </c>
      <c r="G73" s="81" t="str">
        <f ca="1">IF(B73="","",IF($B$2="Salary Points 1 to 57","-",IF(SUMIF(Grades!$A:$A,$B$2,Grades!$BP:$BP)=0,"-",IF(AND(OR($B$2="New Consultant Contract"),$B73&lt;&gt;""),$C73*Thresholds_Rates!$F$16,IF(AND(OR($B$2="Clinical Lecturer / Medical Research Fellow",$B$2="Clinical Consultant - Old Contract (GP)"),$B73&lt;&gt;""),$C73*Thresholds_Rates!$F$16,IF(AND(OR($B$2="APM Level 7",$B$2="R&amp;T Level 7"),F73&lt;&gt;""),$C73*Thresholds_Rates!$F$16,IF(SUMIF(Grades!$A:$A,$B$2,Grades!$BP:$BP)=1,$C73*Thresholds_Rates!$F$16,"")))))))</f>
        <v/>
      </c>
      <c r="H73" s="81" t="str">
        <f ca="1">IF(B73="","",IF(SUMIF(Grades!$A:$A,$B$2,Grades!$BQ:$BQ)=0,"-",IF(AND($B$2="Salary Points 1 to 57",B73&gt;Thresholds_Rates!$C$17),"-",IF(AND($B$2="Salary Points 1 to 57",B73&lt;=Thresholds_Rates!$C$17),$C73*Thresholds_Rates!$F$17,IF(AND(OR($B$2="New Consultant Contract"),$B73&lt;&gt;""),$C73*Thresholds_Rates!$F$17,IF(AND(OR($B$2="Clinical Lecturer / Medical Research Fellow",$B$2="Clinical Consultant - Old Contract (GP)"),$B73&lt;&gt;""),$C73*Thresholds_Rates!$F$17,IF(AND(OR($B$2="APM Level 7",$B$2="R&amp;T Level 7"),G73&lt;&gt;""),$C73*Thresholds_Rates!$F$17,IF(SUMIF(Grades!$A:$A,$B$2,Grades!$BQ:$BQ)=1,$C73*Thresholds_Rates!$F$17,""))))))))</f>
        <v/>
      </c>
      <c r="I73" s="81" t="str">
        <f ca="1">IF($B73="","",IF($C73=0,0,ROUND(($C73-(Thresholds_Rates!$C$5*12))*Thresholds_Rates!$C$10,0)))</f>
        <v/>
      </c>
      <c r="J73" s="81" t="str">
        <f ca="1">IF(B73="","",(C73*Thresholds_Rates!$C$12))</f>
        <v/>
      </c>
      <c r="K73" s="81" t="str">
        <f ca="1">IF(B73="","",IF(AND($B$2="Salary Points 1 to 57",B73&gt;Thresholds_Rates!$C$17),"-",IF(SUMIF(Grades!$A:$A,$B$2,Grades!$BR:$BR)=0,"-",IF(AND($B$2="Salary Points 1 to 57",B73&lt;=Thresholds_Rates!$C$17),$C73*Thresholds_Rates!$F$18,IF(AND(OR($B$2="New Consultant Contract"),$B73&lt;&gt;""),$C73*Thresholds_Rates!$F$18,IF(AND(OR($B$2="Clinical Lecturer / Medical Research Fellow",$B$2="Clinical Consultant - Old Contract (GP)"),$B73&lt;&gt;""),$C73*Thresholds_Rates!$F$18,IF(AND(OR($B$2="APM Level 7",$B$2="R&amp;T Level 7"),I73&lt;&gt;""),$C73*Thresholds_Rates!$F$18,IF(SUMIF(Grades!$A:$A,$B$2,Grades!$BQ:$BQ)=1,$C73*Thresholds_Rates!$F$18,""))))))))</f>
        <v/>
      </c>
      <c r="L73" s="68"/>
      <c r="M73" s="81" t="str">
        <f t="shared" ca="1" si="6"/>
        <v/>
      </c>
      <c r="N73" s="81" t="str">
        <f t="shared" ca="1" si="7"/>
        <v/>
      </c>
      <c r="O73" s="81" t="str">
        <f t="shared" ca="1" si="8"/>
        <v/>
      </c>
      <c r="P73" s="81" t="str">
        <f t="shared" ca="1" si="9"/>
        <v/>
      </c>
      <c r="Q73" s="81" t="str">
        <f t="shared" ca="1" si="10"/>
        <v/>
      </c>
      <c r="R73" s="39"/>
      <c r="S73" s="83" t="str">
        <f ca="1">IF(B73="","",IF($B$2="R&amp;T Level 5 - Clinical Lecturers (Vet School)",SUMIF('Points Lookup'!$V:$V,$B73,'Points Lookup'!$W:$W),IF($B$2="R&amp;T Level 6 - Clinical Associate Professors and Clinical Readers (Vet School)",SUMIF('Points Lookup'!$AC:$AC,$B73,'Points Lookup'!$AD:$AD),"")))</f>
        <v/>
      </c>
      <c r="T73" s="84" t="str">
        <f ca="1">IF(B73="","",IF($B$2="R&amp;T Level 5 - Clinical Lecturers (Vet School)",$C73-SUMIF('Points Lookup'!$V:$V,$B73,'Points Lookup'!$X:$X),IF($B$2="R&amp;T Level 6 - Clinical Associate Professors and Clinical Readers (Vet School)",$C73-SUMIF('Points Lookup'!$AC:$AC,$B73,'Points Lookup'!$AE:$AE),"")))</f>
        <v/>
      </c>
      <c r="U73" s="83" t="str">
        <f ca="1">IF(B73="","",IF($B$2="R&amp;T Level 5 - Clinical Lecturers (Vet School)",SUMIF('Points Lookup'!$V:$V,$B73,'Points Lookup'!$Z:$Z),IF($B$2="R&amp;T Level 6 - Clinical Associate Professors and Clinical Readers (Vet School)",SUMIF('Points Lookup'!$AC:$AC,$B73,'Points Lookup'!$AG:$AG),"")))</f>
        <v/>
      </c>
      <c r="V73" s="84" t="str">
        <f t="shared" ca="1" si="11"/>
        <v/>
      </c>
      <c r="Z73" s="39"/>
      <c r="AA73" s="39"/>
      <c r="AB73" s="39"/>
      <c r="AC73" s="39"/>
      <c r="AD73" s="39"/>
      <c r="AE73" s="39"/>
      <c r="AF73" s="39"/>
      <c r="AO73" s="39"/>
      <c r="AP73" s="39"/>
      <c r="AQ73" s="39"/>
      <c r="AR73" s="39"/>
      <c r="AS73" s="39"/>
      <c r="AT73" s="39"/>
      <c r="AU73" s="39"/>
      <c r="AV73" s="39"/>
      <c r="AW73" s="39"/>
      <c r="AX73" s="39"/>
      <c r="AY73" s="39"/>
      <c r="AZ73" s="39"/>
      <c r="BA73" s="39"/>
      <c r="BB73" s="39"/>
      <c r="BC73" s="39"/>
    </row>
    <row r="74" spans="2:55" s="69" customFormat="1" x14ac:dyDescent="0.25">
      <c r="B74" s="68" t="str">
        <f ca="1">IFERROR(INDEX('Points Lookup'!$A:$A,MATCH($AA76,'Points Lookup'!$AN:$AN,0)),"")</f>
        <v/>
      </c>
      <c r="C74" s="81" t="str">
        <f ca="1">IF(B74="","",SUMIF(INDIRECT("'Points Lookup'!"&amp;VLOOKUP($B$2,Grades!A:BU,72,FALSE)&amp;":"&amp;VLOOKUP($B$2,Grades!A:BU,72,FALSE)),B74,INDIRECT("'Points Lookup'!"&amp;VLOOKUP($B$2,Grades!A:BU,73,FALSE)&amp;":"&amp;VLOOKUP($B$2,Grades!A:BU,73,FALSE))))</f>
        <v/>
      </c>
      <c r="D74" s="81"/>
      <c r="E74" s="81"/>
      <c r="F74" s="81" t="str">
        <f ca="1">IF($B74="","",IF(SUMIF(Grades!$A:$A,$B$2,Grades!$BO:$BO)=0,"-",IF(AND(VLOOKUP($B$2,Grades!$A:$BV,74,FALSE)="YES",B74&lt;Thresholds_Rates!$C$16),"-",$C74*Thresholds_Rates!$F$15)))</f>
        <v/>
      </c>
      <c r="G74" s="81" t="str">
        <f ca="1">IF(B74="","",IF($B$2="Salary Points 1 to 57","-",IF(SUMIF(Grades!$A:$A,$B$2,Grades!$BP:$BP)=0,"-",IF(AND(OR($B$2="New Consultant Contract"),$B74&lt;&gt;""),$C74*Thresholds_Rates!$F$16,IF(AND(OR($B$2="Clinical Lecturer / Medical Research Fellow",$B$2="Clinical Consultant - Old Contract (GP)"),$B74&lt;&gt;""),$C74*Thresholds_Rates!$F$16,IF(AND(OR($B$2="APM Level 7",$B$2="R&amp;T Level 7"),F74&lt;&gt;""),$C74*Thresholds_Rates!$F$16,IF(SUMIF(Grades!$A:$A,$B$2,Grades!$BP:$BP)=1,$C74*Thresholds_Rates!$F$16,"")))))))</f>
        <v/>
      </c>
      <c r="H74" s="81" t="str">
        <f ca="1">IF(B74="","",IF(SUMIF(Grades!$A:$A,$B$2,Grades!$BQ:$BQ)=0,"-",IF(AND($B$2="Salary Points 1 to 57",B74&gt;Thresholds_Rates!$C$17),"-",IF(AND($B$2="Salary Points 1 to 57",B74&lt;=Thresholds_Rates!$C$17),$C74*Thresholds_Rates!$F$17,IF(AND(OR($B$2="New Consultant Contract"),$B74&lt;&gt;""),$C74*Thresholds_Rates!$F$17,IF(AND(OR($B$2="Clinical Lecturer / Medical Research Fellow",$B$2="Clinical Consultant - Old Contract (GP)"),$B74&lt;&gt;""),$C74*Thresholds_Rates!$F$17,IF(AND(OR($B$2="APM Level 7",$B$2="R&amp;T Level 7"),G74&lt;&gt;""),$C74*Thresholds_Rates!$F$17,IF(SUMIF(Grades!$A:$A,$B$2,Grades!$BQ:$BQ)=1,$C74*Thresholds_Rates!$F$17,""))))))))</f>
        <v/>
      </c>
      <c r="I74" s="81" t="str">
        <f ca="1">IF($B74="","",IF($C74=0,0,ROUND(($C74-(Thresholds_Rates!$C$5*12))*Thresholds_Rates!$C$10,0)))</f>
        <v/>
      </c>
      <c r="J74" s="81" t="str">
        <f ca="1">IF(B74="","",(C74*Thresholds_Rates!$C$12))</f>
        <v/>
      </c>
      <c r="K74" s="81" t="str">
        <f ca="1">IF(B74="","",IF(AND($B$2="Salary Points 1 to 57",B74&gt;Thresholds_Rates!$C$17),"-",IF(SUMIF(Grades!$A:$A,$B$2,Grades!$BR:$BR)=0,"-",IF(AND($B$2="Salary Points 1 to 57",B74&lt;=Thresholds_Rates!$C$17),$C74*Thresholds_Rates!$F$18,IF(AND(OR($B$2="New Consultant Contract"),$B74&lt;&gt;""),$C74*Thresholds_Rates!$F$18,IF(AND(OR($B$2="Clinical Lecturer / Medical Research Fellow",$B$2="Clinical Consultant - Old Contract (GP)"),$B74&lt;&gt;""),$C74*Thresholds_Rates!$F$18,IF(AND(OR($B$2="APM Level 7",$B$2="R&amp;T Level 7"),I74&lt;&gt;""),$C74*Thresholds_Rates!$F$18,IF(SUMIF(Grades!$A:$A,$B$2,Grades!$BQ:$BQ)=1,$C74*Thresholds_Rates!$F$18,""))))))))</f>
        <v/>
      </c>
      <c r="L74" s="68"/>
      <c r="M74" s="81" t="str">
        <f t="shared" ca="1" si="6"/>
        <v/>
      </c>
      <c r="N74" s="81" t="str">
        <f t="shared" ca="1" si="7"/>
        <v/>
      </c>
      <c r="O74" s="81" t="str">
        <f t="shared" ca="1" si="8"/>
        <v/>
      </c>
      <c r="P74" s="81" t="str">
        <f t="shared" ca="1" si="9"/>
        <v/>
      </c>
      <c r="Q74" s="81" t="str">
        <f t="shared" ca="1" si="10"/>
        <v/>
      </c>
      <c r="R74" s="39"/>
      <c r="S74" s="83" t="str">
        <f ca="1">IF(B74="","",IF($B$2="R&amp;T Level 5 - Clinical Lecturers (Vet School)",SUMIF('Points Lookup'!$V:$V,$B74,'Points Lookup'!$W:$W),IF($B$2="R&amp;T Level 6 - Clinical Associate Professors and Clinical Readers (Vet School)",SUMIF('Points Lookup'!$AC:$AC,$B74,'Points Lookup'!$AD:$AD),"")))</f>
        <v/>
      </c>
      <c r="T74" s="84" t="str">
        <f ca="1">IF(B74="","",IF($B$2="R&amp;T Level 5 - Clinical Lecturers (Vet School)",$C74-SUMIF('Points Lookup'!$V:$V,$B74,'Points Lookup'!$X:$X),IF($B$2="R&amp;T Level 6 - Clinical Associate Professors and Clinical Readers (Vet School)",$C74-SUMIF('Points Lookup'!$AC:$AC,$B74,'Points Lookup'!$AE:$AE),"")))</f>
        <v/>
      </c>
      <c r="U74" s="83" t="str">
        <f ca="1">IF(B74="","",IF($B$2="R&amp;T Level 5 - Clinical Lecturers (Vet School)",SUMIF('Points Lookup'!$V:$V,$B74,'Points Lookup'!$Z:$Z),IF($B$2="R&amp;T Level 6 - Clinical Associate Professors and Clinical Readers (Vet School)",SUMIF('Points Lookup'!$AC:$AC,$B74,'Points Lookup'!$AG:$AG),"")))</f>
        <v/>
      </c>
      <c r="V74" s="84" t="str">
        <f t="shared" ca="1" si="11"/>
        <v/>
      </c>
      <c r="Z74" s="39"/>
      <c r="AA74" s="39"/>
      <c r="AB74" s="39"/>
      <c r="AC74" s="39"/>
      <c r="AD74" s="39"/>
      <c r="AE74" s="39"/>
      <c r="AF74" s="39"/>
      <c r="AO74" s="39"/>
      <c r="AP74" s="39"/>
      <c r="AQ74" s="39"/>
      <c r="AR74" s="39"/>
      <c r="AS74" s="39"/>
      <c r="AT74" s="39"/>
      <c r="AU74" s="39"/>
      <c r="AV74" s="39"/>
      <c r="AW74" s="39"/>
      <c r="AX74" s="39"/>
      <c r="AY74" s="39"/>
      <c r="AZ74" s="39"/>
      <c r="BA74" s="39"/>
      <c r="BB74" s="39"/>
      <c r="BC74" s="39"/>
    </row>
    <row r="75" spans="2:55" s="69" customFormat="1" x14ac:dyDescent="0.25">
      <c r="B75" s="68" t="str">
        <f ca="1">IFERROR(INDEX('Points Lookup'!$A:$A,MATCH($AA77,'Points Lookup'!$AN:$AN,0)),"")</f>
        <v/>
      </c>
      <c r="C75" s="81" t="str">
        <f ca="1">IF(B75="","",SUMIF(INDIRECT("'Points Lookup'!"&amp;VLOOKUP($B$2,Grades!A:BU,72,FALSE)&amp;":"&amp;VLOOKUP($B$2,Grades!A:BU,72,FALSE)),B75,INDIRECT("'Points Lookup'!"&amp;VLOOKUP($B$2,Grades!A:BU,73,FALSE)&amp;":"&amp;VLOOKUP($B$2,Grades!A:BU,73,FALSE))))</f>
        <v/>
      </c>
      <c r="D75" s="81"/>
      <c r="E75" s="81"/>
      <c r="F75" s="81" t="str">
        <f ca="1">IF($B75="","",IF(SUMIF(Grades!$A:$A,$B$2,Grades!$BO:$BO)=0,"-",IF(AND(VLOOKUP($B$2,Grades!$A:$BV,74,FALSE)="YES",B75&lt;Thresholds_Rates!$C$16),"-",$C75*Thresholds_Rates!$F$15)))</f>
        <v/>
      </c>
      <c r="G75" s="81" t="str">
        <f ca="1">IF(B75="","",IF($B$2="Salary Points 1 to 57","-",IF(SUMIF(Grades!$A:$A,$B$2,Grades!$BP:$BP)=0,"-",IF(AND(OR($B$2="New Consultant Contract"),$B75&lt;&gt;""),$C75*Thresholds_Rates!$F$16,IF(AND(OR($B$2="Clinical Lecturer / Medical Research Fellow",$B$2="Clinical Consultant - Old Contract (GP)"),$B75&lt;&gt;""),$C75*Thresholds_Rates!$F$16,IF(AND(OR($B$2="APM Level 7",$B$2="R&amp;T Level 7"),F75&lt;&gt;""),$C75*Thresholds_Rates!$F$16,IF(SUMIF(Grades!$A:$A,$B$2,Grades!$BP:$BP)=1,$C75*Thresholds_Rates!$F$16,"")))))))</f>
        <v/>
      </c>
      <c r="H75" s="81" t="str">
        <f ca="1">IF(B75="","",IF(SUMIF(Grades!$A:$A,$B$2,Grades!$BQ:$BQ)=0,"-",IF(AND($B$2="Salary Points 1 to 57",B75&gt;Thresholds_Rates!$C$17),"-",IF(AND($B$2="Salary Points 1 to 57",B75&lt;=Thresholds_Rates!$C$17),$C75*Thresholds_Rates!$F$17,IF(AND(OR($B$2="New Consultant Contract"),$B75&lt;&gt;""),$C75*Thresholds_Rates!$F$17,IF(AND(OR($B$2="Clinical Lecturer / Medical Research Fellow",$B$2="Clinical Consultant - Old Contract (GP)"),$B75&lt;&gt;""),$C75*Thresholds_Rates!$F$17,IF(AND(OR($B$2="APM Level 7",$B$2="R&amp;T Level 7"),G75&lt;&gt;""),$C75*Thresholds_Rates!$F$17,IF(SUMIF(Grades!$A:$A,$B$2,Grades!$BQ:$BQ)=1,$C75*Thresholds_Rates!$F$17,""))))))))</f>
        <v/>
      </c>
      <c r="I75" s="81" t="str">
        <f ca="1">IF($B75="","",IF($C75=0,0,ROUND(($C75-(Thresholds_Rates!$C$5*12))*Thresholds_Rates!$C$10,0)))</f>
        <v/>
      </c>
      <c r="J75" s="81" t="str">
        <f ca="1">IF(B75="","",(C75*Thresholds_Rates!$C$12))</f>
        <v/>
      </c>
      <c r="K75" s="81" t="str">
        <f ca="1">IF(B75="","",IF(AND($B$2="Salary Points 1 to 57",B75&gt;Thresholds_Rates!$C$17),"-",IF(SUMIF(Grades!$A:$A,$B$2,Grades!$BR:$BR)=0,"-",IF(AND($B$2="Salary Points 1 to 57",B75&lt;=Thresholds_Rates!$C$17),$C75*Thresholds_Rates!$F$18,IF(AND(OR($B$2="New Consultant Contract"),$B75&lt;&gt;""),$C75*Thresholds_Rates!$F$18,IF(AND(OR($B$2="Clinical Lecturer / Medical Research Fellow",$B$2="Clinical Consultant - Old Contract (GP)"),$B75&lt;&gt;""),$C75*Thresholds_Rates!$F$18,IF(AND(OR($B$2="APM Level 7",$B$2="R&amp;T Level 7"),I75&lt;&gt;""),$C75*Thresholds_Rates!$F$18,IF(SUMIF(Grades!$A:$A,$B$2,Grades!$BQ:$BQ)=1,$C75*Thresholds_Rates!$F$18,""))))))))</f>
        <v/>
      </c>
      <c r="L75" s="68"/>
      <c r="M75" s="81" t="str">
        <f t="shared" ca="1" si="6"/>
        <v/>
      </c>
      <c r="N75" s="81" t="str">
        <f t="shared" ca="1" si="7"/>
        <v/>
      </c>
      <c r="O75" s="81" t="str">
        <f t="shared" ca="1" si="8"/>
        <v/>
      </c>
      <c r="P75" s="81" t="str">
        <f t="shared" ca="1" si="9"/>
        <v/>
      </c>
      <c r="Q75" s="81" t="str">
        <f t="shared" ca="1" si="10"/>
        <v/>
      </c>
      <c r="R75" s="39"/>
      <c r="S75" s="83" t="str">
        <f ca="1">IF(B75="","",IF($B$2="R&amp;T Level 5 - Clinical Lecturers (Vet School)",SUMIF('Points Lookup'!$V:$V,$B75,'Points Lookup'!$W:$W),IF($B$2="R&amp;T Level 6 - Clinical Associate Professors and Clinical Readers (Vet School)",SUMIF('Points Lookup'!$AC:$AC,$B75,'Points Lookup'!$AD:$AD),"")))</f>
        <v/>
      </c>
      <c r="T75" s="84" t="str">
        <f ca="1">IF(B75="","",IF($B$2="R&amp;T Level 5 - Clinical Lecturers (Vet School)",$C75-SUMIF('Points Lookup'!$V:$V,$B75,'Points Lookup'!$X:$X),IF($B$2="R&amp;T Level 6 - Clinical Associate Professors and Clinical Readers (Vet School)",$C75-SUMIF('Points Lookup'!$AC:$AC,$B75,'Points Lookup'!$AE:$AE),"")))</f>
        <v/>
      </c>
      <c r="U75" s="83" t="str">
        <f ca="1">IF(B75="","",IF($B$2="R&amp;T Level 5 - Clinical Lecturers (Vet School)",SUMIF('Points Lookup'!$V:$V,$B75,'Points Lookup'!$Z:$Z),IF($B$2="R&amp;T Level 6 - Clinical Associate Professors and Clinical Readers (Vet School)",SUMIF('Points Lookup'!$AC:$AC,$B75,'Points Lookup'!$AG:$AG),"")))</f>
        <v/>
      </c>
      <c r="V75" s="84" t="str">
        <f t="shared" ca="1" si="11"/>
        <v/>
      </c>
      <c r="Z75" s="39"/>
      <c r="AA75" s="39"/>
      <c r="AB75" s="39"/>
      <c r="AC75" s="39"/>
      <c r="AD75" s="39"/>
      <c r="AE75" s="39"/>
      <c r="AF75" s="39"/>
      <c r="AO75" s="39"/>
      <c r="AP75" s="39"/>
      <c r="AQ75" s="39"/>
      <c r="AR75" s="39"/>
      <c r="AS75" s="39"/>
      <c r="AT75" s="39"/>
      <c r="AU75" s="39"/>
      <c r="AV75" s="39"/>
      <c r="AW75" s="39"/>
      <c r="AX75" s="39"/>
      <c r="AY75" s="39"/>
      <c r="AZ75" s="39"/>
      <c r="BA75" s="39"/>
      <c r="BB75" s="39"/>
      <c r="BC75" s="39"/>
    </row>
    <row r="76" spans="2:55" s="69" customFormat="1" x14ac:dyDescent="0.25">
      <c r="B76" s="68" t="str">
        <f ca="1">IFERROR(INDEX('Points Lookup'!$A:$A,MATCH($AA78,'Points Lookup'!$AN:$AN,0)),"")</f>
        <v/>
      </c>
      <c r="C76" s="81" t="str">
        <f ca="1">IF(B76="","",SUMIF(INDIRECT("'Points Lookup'!"&amp;VLOOKUP($B$2,Grades!A:BU,72,FALSE)&amp;":"&amp;VLOOKUP($B$2,Grades!A:BU,72,FALSE)),B76,INDIRECT("'Points Lookup'!"&amp;VLOOKUP($B$2,Grades!A:BU,73,FALSE)&amp;":"&amp;VLOOKUP($B$2,Grades!A:BU,73,FALSE))))</f>
        <v/>
      </c>
      <c r="D76" s="81"/>
      <c r="E76" s="81"/>
      <c r="F76" s="81" t="str">
        <f ca="1">IF($B76="","",IF(SUMIF(Grades!$A:$A,$B$2,Grades!$BO:$BO)=0,"-",IF(AND(VLOOKUP($B$2,Grades!$A:$BV,74,FALSE)="YES",B76&lt;Thresholds_Rates!$C$16),"-",$C76*Thresholds_Rates!$F$15)))</f>
        <v/>
      </c>
      <c r="G76" s="81" t="str">
        <f ca="1">IF(B76="","",IF($B$2="Salary Points 1 to 57","-",IF(SUMIF(Grades!$A:$A,$B$2,Grades!$BP:$BP)=0,"-",IF(AND(OR($B$2="New Consultant Contract"),$B76&lt;&gt;""),$C76*Thresholds_Rates!$F$16,IF(AND(OR($B$2="Clinical Lecturer / Medical Research Fellow",$B$2="Clinical Consultant - Old Contract (GP)"),$B76&lt;&gt;""),$C76*Thresholds_Rates!$F$16,IF(AND(OR($B$2="APM Level 7",$B$2="R&amp;T Level 7"),F76&lt;&gt;""),$C76*Thresholds_Rates!$F$16,IF(SUMIF(Grades!$A:$A,$B$2,Grades!$BP:$BP)=1,$C76*Thresholds_Rates!$F$16,"")))))))</f>
        <v/>
      </c>
      <c r="H76" s="81" t="str">
        <f ca="1">IF(B76="","",IF(SUMIF(Grades!$A:$A,$B$2,Grades!$BQ:$BQ)=0,"-",IF(AND($B$2="Salary Points 1 to 57",B76&gt;Thresholds_Rates!$C$17),"-",IF(AND($B$2="Salary Points 1 to 57",B76&lt;=Thresholds_Rates!$C$17),$C76*Thresholds_Rates!$F$17,IF(AND(OR($B$2="New Consultant Contract"),$B76&lt;&gt;""),$C76*Thresholds_Rates!$F$17,IF(AND(OR($B$2="Clinical Lecturer / Medical Research Fellow",$B$2="Clinical Consultant - Old Contract (GP)"),$B76&lt;&gt;""),$C76*Thresholds_Rates!$F$17,IF(AND(OR($B$2="APM Level 7",$B$2="R&amp;T Level 7"),G76&lt;&gt;""),$C76*Thresholds_Rates!$F$17,IF(SUMIF(Grades!$A:$A,$B$2,Grades!$BQ:$BQ)=1,$C76*Thresholds_Rates!$F$17,""))))))))</f>
        <v/>
      </c>
      <c r="I76" s="81" t="str">
        <f ca="1">IF($B76="","",IF($C76=0,0,ROUND(($C76-(Thresholds_Rates!$C$5*12))*Thresholds_Rates!$C$10,0)))</f>
        <v/>
      </c>
      <c r="J76" s="81" t="str">
        <f ca="1">IF(B76="","",(C76*Thresholds_Rates!$C$12))</f>
        <v/>
      </c>
      <c r="K76" s="81" t="str">
        <f ca="1">IF(B76="","",IF(AND($B$2="Salary Points 1 to 57",B76&gt;Thresholds_Rates!$C$17),"-",IF(SUMIF(Grades!$A:$A,$B$2,Grades!$BR:$BR)=0,"-",IF(AND($B$2="Salary Points 1 to 57",B76&lt;=Thresholds_Rates!$C$17),$C76*Thresholds_Rates!$F$18,IF(AND(OR($B$2="New Consultant Contract"),$B76&lt;&gt;""),$C76*Thresholds_Rates!$F$18,IF(AND(OR($B$2="Clinical Lecturer / Medical Research Fellow",$B$2="Clinical Consultant - Old Contract (GP)"),$B76&lt;&gt;""),$C76*Thresholds_Rates!$F$18,IF(AND(OR($B$2="APM Level 7",$B$2="R&amp;T Level 7"),I76&lt;&gt;""),$C76*Thresholds_Rates!$F$18,IF(SUMIF(Grades!$A:$A,$B$2,Grades!$BQ:$BQ)=1,$C76*Thresholds_Rates!$F$18,""))))))))</f>
        <v/>
      </c>
      <c r="L76" s="68"/>
      <c r="M76" s="81" t="str">
        <f t="shared" ca="1" si="6"/>
        <v/>
      </c>
      <c r="N76" s="81" t="str">
        <f t="shared" ca="1" si="7"/>
        <v/>
      </c>
      <c r="O76" s="81" t="str">
        <f t="shared" ca="1" si="8"/>
        <v/>
      </c>
      <c r="P76" s="81" t="str">
        <f t="shared" ca="1" si="9"/>
        <v/>
      </c>
      <c r="Q76" s="81" t="str">
        <f t="shared" ca="1" si="10"/>
        <v/>
      </c>
      <c r="R76" s="39"/>
      <c r="S76" s="83" t="str">
        <f ca="1">IF(B76="","",IF($B$2="R&amp;T Level 5 - Clinical Lecturers (Vet School)",SUMIF('Points Lookup'!$V:$V,$B76,'Points Lookup'!$W:$W),IF($B$2="R&amp;T Level 6 - Clinical Associate Professors and Clinical Readers (Vet School)",SUMIF('Points Lookup'!$AC:$AC,$B76,'Points Lookup'!$AD:$AD),"")))</f>
        <v/>
      </c>
      <c r="T76" s="84" t="str">
        <f ca="1">IF(B76="","",IF($B$2="R&amp;T Level 5 - Clinical Lecturers (Vet School)",$C76-SUMIF('Points Lookup'!$V:$V,$B76,'Points Lookup'!$X:$X),IF($B$2="R&amp;T Level 6 - Clinical Associate Professors and Clinical Readers (Vet School)",$C76-SUMIF('Points Lookup'!$AC:$AC,$B76,'Points Lookup'!$AE:$AE),"")))</f>
        <v/>
      </c>
      <c r="U76" s="83" t="str">
        <f ca="1">IF(B76="","",IF($B$2="R&amp;T Level 5 - Clinical Lecturers (Vet School)",SUMIF('Points Lookup'!$V:$V,$B76,'Points Lookup'!$Z:$Z),IF($B$2="R&amp;T Level 6 - Clinical Associate Professors and Clinical Readers (Vet School)",SUMIF('Points Lookup'!$AC:$AC,$B76,'Points Lookup'!$AG:$AG),"")))</f>
        <v/>
      </c>
      <c r="V76" s="84" t="str">
        <f t="shared" ca="1" si="11"/>
        <v/>
      </c>
      <c r="Z76" s="39"/>
      <c r="AA76" s="39"/>
      <c r="AB76" s="39"/>
      <c r="AC76" s="39"/>
      <c r="AD76" s="39"/>
      <c r="AE76" s="39"/>
      <c r="AF76" s="39"/>
      <c r="AO76" s="39"/>
      <c r="AP76" s="39"/>
      <c r="AQ76" s="39"/>
      <c r="AR76" s="39"/>
      <c r="AS76" s="39"/>
      <c r="AT76" s="39"/>
      <c r="AU76" s="39"/>
      <c r="AV76" s="39"/>
      <c r="AW76" s="39"/>
      <c r="AX76" s="39"/>
      <c r="AY76" s="39"/>
      <c r="AZ76" s="39"/>
      <c r="BA76" s="39"/>
      <c r="BB76" s="39"/>
      <c r="BC76" s="39"/>
    </row>
    <row r="77" spans="2:55" s="69" customFormat="1" x14ac:dyDescent="0.25">
      <c r="B77" s="68" t="str">
        <f ca="1">IFERROR(INDEX('Points Lookup'!$A:$A,MATCH($AA79,'Points Lookup'!$AN:$AN,0)),"")</f>
        <v/>
      </c>
      <c r="C77" s="81" t="str">
        <f ca="1">IF(B77="","",SUMIF(INDIRECT("'Points Lookup'!"&amp;VLOOKUP($B$2,Grades!A:BU,72,FALSE)&amp;":"&amp;VLOOKUP($B$2,Grades!A:BU,72,FALSE)),B77,INDIRECT("'Points Lookup'!"&amp;VLOOKUP($B$2,Grades!A:BU,73,FALSE)&amp;":"&amp;VLOOKUP($B$2,Grades!A:BU,73,FALSE))))</f>
        <v/>
      </c>
      <c r="D77" s="81"/>
      <c r="E77" s="81"/>
      <c r="F77" s="81" t="str">
        <f ca="1">IF($B77="","",IF(SUMIF(Grades!$A:$A,$B$2,Grades!$BO:$BO)=0,"-",IF(AND(VLOOKUP($B$2,Grades!$A:$BV,74,FALSE)="YES",B77&lt;Thresholds_Rates!$C$16),"-",$C77*Thresholds_Rates!$F$15)))</f>
        <v/>
      </c>
      <c r="G77" s="81" t="str">
        <f ca="1">IF(B77="","",IF($B$2="Salary Points 1 to 57","-",IF(SUMIF(Grades!$A:$A,$B$2,Grades!$BP:$BP)=0,"-",IF(AND(OR($B$2="New Consultant Contract"),$B77&lt;&gt;""),$C77*Thresholds_Rates!$F$16,IF(AND(OR($B$2="Clinical Lecturer / Medical Research Fellow",$B$2="Clinical Consultant - Old Contract (GP)"),$B77&lt;&gt;""),$C77*Thresholds_Rates!$F$16,IF(AND(OR($B$2="APM Level 7",$B$2="R&amp;T Level 7"),F77&lt;&gt;""),$C77*Thresholds_Rates!$F$16,IF(SUMIF(Grades!$A:$A,$B$2,Grades!$BP:$BP)=1,$C77*Thresholds_Rates!$F$16,"")))))))</f>
        <v/>
      </c>
      <c r="H77" s="81" t="str">
        <f ca="1">IF(B77="","",IF(SUMIF(Grades!$A:$A,$B$2,Grades!$BQ:$BQ)=0,"-",IF(AND($B$2="Salary Points 1 to 57",B77&gt;Thresholds_Rates!$C$17),"-",IF(AND($B$2="Salary Points 1 to 57",B77&lt;=Thresholds_Rates!$C$17),$C77*Thresholds_Rates!$F$17,IF(AND(OR($B$2="New Consultant Contract"),$B77&lt;&gt;""),$C77*Thresholds_Rates!$F$17,IF(AND(OR($B$2="Clinical Lecturer / Medical Research Fellow",$B$2="Clinical Consultant - Old Contract (GP)"),$B77&lt;&gt;""),$C77*Thresholds_Rates!$F$17,IF(AND(OR($B$2="APM Level 7",$B$2="R&amp;T Level 7"),G77&lt;&gt;""),$C77*Thresholds_Rates!$F$17,IF(SUMIF(Grades!$A:$A,$B$2,Grades!$BQ:$BQ)=1,$C77*Thresholds_Rates!$F$17,""))))))))</f>
        <v/>
      </c>
      <c r="I77" s="81" t="str">
        <f ca="1">IF($B77="","",IF($C77=0,0,ROUND(($C77-(Thresholds_Rates!$C$5*12))*Thresholds_Rates!$C$10,0)))</f>
        <v/>
      </c>
      <c r="J77" s="81" t="str">
        <f ca="1">IF(B77="","",(C77*Thresholds_Rates!$C$12))</f>
        <v/>
      </c>
      <c r="K77" s="81" t="str">
        <f ca="1">IF(B77="","",IF(AND($B$2="Salary Points 1 to 57",B77&gt;Thresholds_Rates!$C$17),"-",IF(SUMIF(Grades!$A:$A,$B$2,Grades!$BR:$BR)=0,"-",IF(AND($B$2="Salary Points 1 to 57",B77&lt;=Thresholds_Rates!$C$17),$C77*Thresholds_Rates!$F$18,IF(AND(OR($B$2="New Consultant Contract"),$B77&lt;&gt;""),$C77*Thresholds_Rates!$F$18,IF(AND(OR($B$2="Clinical Lecturer / Medical Research Fellow",$B$2="Clinical Consultant - Old Contract (GP)"),$B77&lt;&gt;""),$C77*Thresholds_Rates!$F$18,IF(AND(OR($B$2="APM Level 7",$B$2="R&amp;T Level 7"),I77&lt;&gt;""),$C77*Thresholds_Rates!$F$18,IF(SUMIF(Grades!$A:$A,$B$2,Grades!$BQ:$BQ)=1,$C77*Thresholds_Rates!$F$18,""))))))))</f>
        <v/>
      </c>
      <c r="L77" s="68"/>
      <c r="M77" s="81" t="str">
        <f t="shared" ca="1" si="6"/>
        <v/>
      </c>
      <c r="N77" s="81" t="str">
        <f t="shared" ca="1" si="7"/>
        <v/>
      </c>
      <c r="O77" s="81" t="str">
        <f t="shared" ca="1" si="8"/>
        <v/>
      </c>
      <c r="P77" s="81" t="str">
        <f t="shared" ca="1" si="9"/>
        <v/>
      </c>
      <c r="Q77" s="81" t="str">
        <f t="shared" ca="1" si="10"/>
        <v/>
      </c>
      <c r="R77" s="39"/>
      <c r="S77" s="83" t="str">
        <f ca="1">IF(B77="","",IF($B$2="R&amp;T Level 5 - Clinical Lecturers (Vet School)",SUMIF('Points Lookup'!$V:$V,$B77,'Points Lookup'!$W:$W),IF($B$2="R&amp;T Level 6 - Clinical Associate Professors and Clinical Readers (Vet School)",SUMIF('Points Lookup'!$AC:$AC,$B77,'Points Lookup'!$AD:$AD),"")))</f>
        <v/>
      </c>
      <c r="T77" s="84" t="str">
        <f ca="1">IF(B77="","",IF($B$2="R&amp;T Level 5 - Clinical Lecturers (Vet School)",$C77-SUMIF('Points Lookup'!$V:$V,$B77,'Points Lookup'!$X:$X),IF($B$2="R&amp;T Level 6 - Clinical Associate Professors and Clinical Readers (Vet School)",$C77-SUMIF('Points Lookup'!$AC:$AC,$B77,'Points Lookup'!$AE:$AE),"")))</f>
        <v/>
      </c>
      <c r="U77" s="83" t="str">
        <f ca="1">IF(B77="","",IF($B$2="R&amp;T Level 5 - Clinical Lecturers (Vet School)",SUMIF('Points Lookup'!$V:$V,$B77,'Points Lookup'!$Z:$Z),IF($B$2="R&amp;T Level 6 - Clinical Associate Professors and Clinical Readers (Vet School)",SUMIF('Points Lookup'!$AC:$AC,$B77,'Points Lookup'!$AG:$AG),"")))</f>
        <v/>
      </c>
      <c r="V77" s="84" t="str">
        <f t="shared" ca="1" si="11"/>
        <v/>
      </c>
      <c r="Z77" s="39"/>
      <c r="AA77" s="39"/>
      <c r="AB77" s="39"/>
      <c r="AC77" s="39"/>
      <c r="AD77" s="39"/>
      <c r="AE77" s="39"/>
      <c r="AF77" s="39"/>
      <c r="AO77" s="39"/>
      <c r="AP77" s="39"/>
      <c r="AQ77" s="39"/>
      <c r="AR77" s="39"/>
      <c r="AS77" s="39"/>
      <c r="AT77" s="39"/>
      <c r="AU77" s="39"/>
      <c r="AV77" s="39"/>
      <c r="AW77" s="39"/>
      <c r="AX77" s="39"/>
      <c r="AY77" s="39"/>
      <c r="AZ77" s="39"/>
      <c r="BA77" s="39"/>
      <c r="BB77" s="39"/>
      <c r="BC77" s="39"/>
    </row>
    <row r="78" spans="2:55" s="69" customFormat="1" x14ac:dyDescent="0.25">
      <c r="B78" s="68" t="str">
        <f ca="1">IFERROR(INDEX('Points Lookup'!$A:$A,MATCH($AA80,'Points Lookup'!$AN:$AN,0)),"")</f>
        <v/>
      </c>
      <c r="C78" s="81" t="str">
        <f ca="1">IF(B78="","",SUMIF(INDIRECT("'Points Lookup'!"&amp;VLOOKUP($B$2,Grades!A:BU,72,FALSE)&amp;":"&amp;VLOOKUP($B$2,Grades!A:BU,72,FALSE)),B78,INDIRECT("'Points Lookup'!"&amp;VLOOKUP($B$2,Grades!A:BU,73,FALSE)&amp;":"&amp;VLOOKUP($B$2,Grades!A:BU,73,FALSE))))</f>
        <v/>
      </c>
      <c r="D78" s="81"/>
      <c r="E78" s="81"/>
      <c r="F78" s="81" t="str">
        <f ca="1">IF($B78="","",IF(SUMIF(Grades!$A:$A,$B$2,Grades!$BO:$BO)=0,"-",IF(AND(VLOOKUP($B$2,Grades!$A:$BV,74,FALSE)="YES",B78&lt;Thresholds_Rates!$C$16),"-",$C78*Thresholds_Rates!$F$15)))</f>
        <v/>
      </c>
      <c r="G78" s="81" t="str">
        <f ca="1">IF(B78="","",IF($B$2="Salary Points 1 to 57","-",IF(SUMIF(Grades!$A:$A,$B$2,Grades!$BP:$BP)=0,"-",IF(AND(OR($B$2="New Consultant Contract"),$B78&lt;&gt;""),$C78*Thresholds_Rates!$F$16,IF(AND(OR($B$2="Clinical Lecturer / Medical Research Fellow",$B$2="Clinical Consultant - Old Contract (GP)"),$B78&lt;&gt;""),$C78*Thresholds_Rates!$F$16,IF(AND(OR($B$2="APM Level 7",$B$2="R&amp;T Level 7"),F78&lt;&gt;""),$C78*Thresholds_Rates!$F$16,IF(SUMIF(Grades!$A:$A,$B$2,Grades!$BP:$BP)=1,$C78*Thresholds_Rates!$F$16,"")))))))</f>
        <v/>
      </c>
      <c r="H78" s="81" t="str">
        <f ca="1">IF(B78="","",IF(SUMIF(Grades!$A:$A,$B$2,Grades!$BQ:$BQ)=0,"-",IF(AND($B$2="Salary Points 1 to 57",B78&gt;Thresholds_Rates!$C$17),"-",IF(AND($B$2="Salary Points 1 to 57",B78&lt;=Thresholds_Rates!$C$17),$C78*Thresholds_Rates!$F$17,IF(AND(OR($B$2="New Consultant Contract"),$B78&lt;&gt;""),$C78*Thresholds_Rates!$F$17,IF(AND(OR($B$2="Clinical Lecturer / Medical Research Fellow",$B$2="Clinical Consultant - Old Contract (GP)"),$B78&lt;&gt;""),$C78*Thresholds_Rates!$F$17,IF(AND(OR($B$2="APM Level 7",$B$2="R&amp;T Level 7"),G78&lt;&gt;""),$C78*Thresholds_Rates!$F$17,IF(SUMIF(Grades!$A:$A,$B$2,Grades!$BQ:$BQ)=1,$C78*Thresholds_Rates!$F$17,""))))))))</f>
        <v/>
      </c>
      <c r="I78" s="81" t="str">
        <f ca="1">IF($B78="","",IF($C78=0,0,ROUND(($C78-(Thresholds_Rates!$C$5*12))*Thresholds_Rates!$C$10,0)))</f>
        <v/>
      </c>
      <c r="J78" s="81" t="str">
        <f ca="1">IF(B78="","",(C78*Thresholds_Rates!$C$12))</f>
        <v/>
      </c>
      <c r="K78" s="81" t="str">
        <f ca="1">IF(B78="","",IF(AND($B$2="Salary Points 1 to 57",B78&gt;Thresholds_Rates!$C$17),"-",IF(SUMIF(Grades!$A:$A,$B$2,Grades!$BR:$BR)=0,"-",IF(AND($B$2="Salary Points 1 to 57",B78&lt;=Thresholds_Rates!$C$17),$C78*Thresholds_Rates!$F$18,IF(AND(OR($B$2="New Consultant Contract"),$B78&lt;&gt;""),$C78*Thresholds_Rates!$F$18,IF(AND(OR($B$2="Clinical Lecturer / Medical Research Fellow",$B$2="Clinical Consultant - Old Contract (GP)"),$B78&lt;&gt;""),$C78*Thresholds_Rates!$F$18,IF(AND(OR($B$2="APM Level 7",$B$2="R&amp;T Level 7"),I78&lt;&gt;""),$C78*Thresholds_Rates!$F$18,IF(SUMIF(Grades!$A:$A,$B$2,Grades!$BQ:$BQ)=1,$C78*Thresholds_Rates!$F$18,""))))))))</f>
        <v/>
      </c>
      <c r="L78" s="68"/>
      <c r="M78" s="81" t="str">
        <f t="shared" ca="1" si="6"/>
        <v/>
      </c>
      <c r="N78" s="81" t="str">
        <f t="shared" ca="1" si="7"/>
        <v/>
      </c>
      <c r="O78" s="81" t="str">
        <f t="shared" ca="1" si="8"/>
        <v/>
      </c>
      <c r="P78" s="81" t="str">
        <f t="shared" ca="1" si="9"/>
        <v/>
      </c>
      <c r="Q78" s="81" t="str">
        <f t="shared" ca="1" si="10"/>
        <v/>
      </c>
      <c r="R78" s="39"/>
      <c r="S78" s="83" t="str">
        <f ca="1">IF(B78="","",IF($B$2="R&amp;T Level 5 - Clinical Lecturers (Vet School)",SUMIF('Points Lookup'!$V:$V,$B78,'Points Lookup'!$W:$W),IF($B$2="R&amp;T Level 6 - Clinical Associate Professors and Clinical Readers (Vet School)",SUMIF('Points Lookup'!$AC:$AC,$B78,'Points Lookup'!$AD:$AD),"")))</f>
        <v/>
      </c>
      <c r="T78" s="84" t="str">
        <f ca="1">IF(B78="","",IF($B$2="R&amp;T Level 5 - Clinical Lecturers (Vet School)",$C78-SUMIF('Points Lookup'!$V:$V,$B78,'Points Lookup'!$X:$X),IF($B$2="R&amp;T Level 6 - Clinical Associate Professors and Clinical Readers (Vet School)",$C78-SUMIF('Points Lookup'!$AC:$AC,$B78,'Points Lookup'!$AE:$AE),"")))</f>
        <v/>
      </c>
      <c r="U78" s="83" t="str">
        <f ca="1">IF(B78="","",IF($B$2="R&amp;T Level 5 - Clinical Lecturers (Vet School)",SUMIF('Points Lookup'!$V:$V,$B78,'Points Lookup'!$Z:$Z),IF($B$2="R&amp;T Level 6 - Clinical Associate Professors and Clinical Readers (Vet School)",SUMIF('Points Lookup'!$AC:$AC,$B78,'Points Lookup'!$AG:$AG),"")))</f>
        <v/>
      </c>
      <c r="V78" s="84" t="str">
        <f t="shared" ca="1" si="11"/>
        <v/>
      </c>
      <c r="Z78" s="39"/>
      <c r="AA78" s="39"/>
      <c r="AB78" s="39"/>
      <c r="AC78" s="39"/>
      <c r="AD78" s="39"/>
      <c r="AE78" s="39"/>
      <c r="AF78" s="39"/>
      <c r="AO78" s="39"/>
      <c r="AP78" s="39"/>
      <c r="AQ78" s="39"/>
      <c r="AR78" s="39"/>
      <c r="AS78" s="39"/>
      <c r="AT78" s="39"/>
      <c r="AU78" s="39"/>
      <c r="AV78" s="39"/>
      <c r="AW78" s="39"/>
      <c r="AX78" s="39"/>
      <c r="AY78" s="39"/>
      <c r="AZ78" s="39"/>
      <c r="BA78" s="39"/>
      <c r="BB78" s="39"/>
      <c r="BC78" s="39"/>
    </row>
    <row r="79" spans="2:55" s="69" customFormat="1" x14ac:dyDescent="0.25">
      <c r="B79" s="68" t="str">
        <f ca="1">IFERROR(INDEX('Points Lookup'!$A:$A,MATCH($AA81,'Points Lookup'!$AN:$AN,0)),"")</f>
        <v/>
      </c>
      <c r="C79" s="81" t="str">
        <f ca="1">IF(B79="","",SUMIF(INDIRECT("'Points Lookup'!"&amp;VLOOKUP($B$2,Grades!A:BU,72,FALSE)&amp;":"&amp;VLOOKUP($B$2,Grades!A:BU,72,FALSE)),B79,INDIRECT("'Points Lookup'!"&amp;VLOOKUP($B$2,Grades!A:BU,73,FALSE)&amp;":"&amp;VLOOKUP($B$2,Grades!A:BU,73,FALSE))))</f>
        <v/>
      </c>
      <c r="D79" s="81"/>
      <c r="E79" s="81"/>
      <c r="F79" s="81" t="str">
        <f ca="1">IF($B79="","",IF(SUMIF(Grades!$A:$A,$B$2,Grades!$BO:$BO)=0,"-",IF(AND(VLOOKUP($B$2,Grades!$A:$BV,74,FALSE)="YES",B79&lt;Thresholds_Rates!$C$16),"-",$C79*Thresholds_Rates!$F$15)))</f>
        <v/>
      </c>
      <c r="G79" s="81" t="str">
        <f ca="1">IF(B79="","",IF($B$2="Salary Points 1 to 57","-",IF(SUMIF(Grades!$A:$A,$B$2,Grades!$BP:$BP)=0,"-",IF(AND(OR($B$2="New Consultant Contract"),$B79&lt;&gt;""),$C79*Thresholds_Rates!$F$16,IF(AND(OR($B$2="Clinical Lecturer / Medical Research Fellow",$B$2="Clinical Consultant - Old Contract (GP)"),$B79&lt;&gt;""),$C79*Thresholds_Rates!$F$16,IF(AND(OR($B$2="APM Level 7",$B$2="R&amp;T Level 7"),F79&lt;&gt;""),$C79*Thresholds_Rates!$F$16,IF(SUMIF(Grades!$A:$A,$B$2,Grades!$BP:$BP)=1,$C79*Thresholds_Rates!$F$16,"")))))))</f>
        <v/>
      </c>
      <c r="H79" s="81" t="str">
        <f ca="1">IF(B79="","",IF(SUMIF(Grades!$A:$A,$B$2,Grades!$BQ:$BQ)=0,"-",IF(AND($B$2="Salary Points 1 to 57",B79&gt;Thresholds_Rates!$C$17),"-",IF(AND($B$2="Salary Points 1 to 57",B79&lt;=Thresholds_Rates!$C$17),$C79*Thresholds_Rates!$F$17,IF(AND(OR($B$2="New Consultant Contract"),$B79&lt;&gt;""),$C79*Thresholds_Rates!$F$17,IF(AND(OR($B$2="Clinical Lecturer / Medical Research Fellow",$B$2="Clinical Consultant - Old Contract (GP)"),$B79&lt;&gt;""),$C79*Thresholds_Rates!$F$17,IF(AND(OR($B$2="APM Level 7",$B$2="R&amp;T Level 7"),G79&lt;&gt;""),$C79*Thresholds_Rates!$F$17,IF(SUMIF(Grades!$A:$A,$B$2,Grades!$BQ:$BQ)=1,$C79*Thresholds_Rates!$F$17,""))))))))</f>
        <v/>
      </c>
      <c r="I79" s="81" t="str">
        <f ca="1">IF($B79="","",IF($C79=0,0,ROUND(($C79-(Thresholds_Rates!$C$5*12))*Thresholds_Rates!$C$10,0)))</f>
        <v/>
      </c>
      <c r="J79" s="81" t="str">
        <f ca="1">IF(B79="","",(C79*Thresholds_Rates!$C$12))</f>
        <v/>
      </c>
      <c r="K79" s="81" t="str">
        <f ca="1">IF(B79="","",IF(AND($B$2="Salary Points 1 to 57",B79&gt;Thresholds_Rates!$C$17),"-",IF(SUMIF(Grades!$A:$A,$B$2,Grades!$BR:$BR)=0,"-",IF(AND($B$2="Salary Points 1 to 57",B79&lt;=Thresholds_Rates!$C$17),$C79*Thresholds_Rates!$F$18,IF(AND(OR($B$2="New Consultant Contract"),$B79&lt;&gt;""),$C79*Thresholds_Rates!$F$18,IF(AND(OR($B$2="Clinical Lecturer / Medical Research Fellow",$B$2="Clinical Consultant - Old Contract (GP)"),$B79&lt;&gt;""),$C79*Thresholds_Rates!$F$18,IF(AND(OR($B$2="APM Level 7",$B$2="R&amp;T Level 7"),I79&lt;&gt;""),$C79*Thresholds_Rates!$F$18,IF(SUMIF(Grades!$A:$A,$B$2,Grades!$BQ:$BQ)=1,$C79*Thresholds_Rates!$F$18,""))))))))</f>
        <v/>
      </c>
      <c r="L79" s="68"/>
      <c r="M79" s="81" t="str">
        <f t="shared" ca="1" si="6"/>
        <v/>
      </c>
      <c r="N79" s="81" t="str">
        <f t="shared" ca="1" si="7"/>
        <v/>
      </c>
      <c r="O79" s="81" t="str">
        <f t="shared" ca="1" si="8"/>
        <v/>
      </c>
      <c r="P79" s="81" t="str">
        <f t="shared" ca="1" si="9"/>
        <v/>
      </c>
      <c r="Q79" s="81" t="str">
        <f t="shared" ca="1" si="10"/>
        <v/>
      </c>
      <c r="R79" s="39"/>
      <c r="S79" s="83" t="str">
        <f ca="1">IF(B79="","",IF($B$2="R&amp;T Level 5 - Clinical Lecturers (Vet School)",SUMIF('Points Lookup'!$V:$V,$B79,'Points Lookup'!$W:$W),IF($B$2="R&amp;T Level 6 - Clinical Associate Professors and Clinical Readers (Vet School)",SUMIF('Points Lookup'!$AC:$AC,$B79,'Points Lookup'!$AD:$AD),"")))</f>
        <v/>
      </c>
      <c r="T79" s="84" t="str">
        <f ca="1">IF(B79="","",IF($B$2="R&amp;T Level 5 - Clinical Lecturers (Vet School)",$C79-SUMIF('Points Lookup'!$V:$V,$B79,'Points Lookup'!$X:$X),IF($B$2="R&amp;T Level 6 - Clinical Associate Professors and Clinical Readers (Vet School)",$C79-SUMIF('Points Lookup'!$AC:$AC,$B79,'Points Lookup'!$AE:$AE),"")))</f>
        <v/>
      </c>
      <c r="U79" s="83" t="str">
        <f ca="1">IF(B79="","",IF($B$2="R&amp;T Level 5 - Clinical Lecturers (Vet School)",SUMIF('Points Lookup'!$V:$V,$B79,'Points Lookup'!$Z:$Z),IF($B$2="R&amp;T Level 6 - Clinical Associate Professors and Clinical Readers (Vet School)",SUMIF('Points Lookup'!$AC:$AC,$B79,'Points Lookup'!$AG:$AG),"")))</f>
        <v/>
      </c>
      <c r="V79" s="84" t="str">
        <f t="shared" ca="1" si="11"/>
        <v/>
      </c>
      <c r="Z79" s="39"/>
      <c r="AA79" s="39"/>
      <c r="AB79" s="39"/>
      <c r="AC79" s="39"/>
      <c r="AD79" s="39"/>
      <c r="AE79" s="39"/>
      <c r="AF79" s="39"/>
      <c r="AO79" s="39"/>
      <c r="AP79" s="39"/>
      <c r="AQ79" s="39"/>
      <c r="AR79" s="39"/>
      <c r="AS79" s="39"/>
      <c r="AT79" s="39"/>
      <c r="AU79" s="39"/>
      <c r="AV79" s="39"/>
      <c r="AW79" s="39"/>
      <c r="AX79" s="39"/>
      <c r="AY79" s="39"/>
      <c r="AZ79" s="39"/>
      <c r="BA79" s="39"/>
      <c r="BB79" s="39"/>
      <c r="BC79" s="39"/>
    </row>
    <row r="80" spans="2:55" s="69" customFormat="1" x14ac:dyDescent="0.25">
      <c r="B80" s="68" t="str">
        <f ca="1">IFERROR(INDEX('Points Lookup'!$A:$A,MATCH($AA82,'Points Lookup'!$AN:$AN,0)),"")</f>
        <v/>
      </c>
      <c r="C80" s="81" t="str">
        <f ca="1">IF(B80="","",SUMIF(INDIRECT("'Points Lookup'!"&amp;VLOOKUP($B$2,Grades!A:BU,72,FALSE)&amp;":"&amp;VLOOKUP($B$2,Grades!A:BU,72,FALSE)),B80,INDIRECT("'Points Lookup'!"&amp;VLOOKUP($B$2,Grades!A:BU,73,FALSE)&amp;":"&amp;VLOOKUP($B$2,Grades!A:BU,73,FALSE))))</f>
        <v/>
      </c>
      <c r="D80" s="81"/>
      <c r="E80" s="81"/>
      <c r="F80" s="81" t="str">
        <f ca="1">IF($B80="","",IF(SUMIF(Grades!$A:$A,$B$2,Grades!$BO:$BO)=0,"-",IF(AND(VLOOKUP($B$2,Grades!$A:$BV,74,FALSE)="YES",B80&lt;Thresholds_Rates!$C$16),"-",$C80*Thresholds_Rates!$F$15)))</f>
        <v/>
      </c>
      <c r="G80" s="81" t="str">
        <f ca="1">IF(B80="","",IF($B$2="Salary Points 1 to 57","-",IF(SUMIF(Grades!$A:$A,$B$2,Grades!$BP:$BP)=0,"-",IF(AND(OR($B$2="New Consultant Contract"),$B80&lt;&gt;""),$C80*Thresholds_Rates!$F$16,IF(AND(OR($B$2="Clinical Lecturer / Medical Research Fellow",$B$2="Clinical Consultant - Old Contract (GP)"),$B80&lt;&gt;""),$C80*Thresholds_Rates!$F$16,IF(AND(OR($B$2="APM Level 7",$B$2="R&amp;T Level 7"),F80&lt;&gt;""),$C80*Thresholds_Rates!$F$16,IF(SUMIF(Grades!$A:$A,$B$2,Grades!$BP:$BP)=1,$C80*Thresholds_Rates!$F$16,"")))))))</f>
        <v/>
      </c>
      <c r="H80" s="81" t="str">
        <f ca="1">IF(B80="","",IF(SUMIF(Grades!$A:$A,$B$2,Grades!$BQ:$BQ)=0,"-",IF(AND($B$2="Salary Points 1 to 57",B80&gt;Thresholds_Rates!$C$17),"-",IF(AND($B$2="Salary Points 1 to 57",B80&lt;=Thresholds_Rates!$C$17),$C80*Thresholds_Rates!$F$17,IF(AND(OR($B$2="New Consultant Contract"),$B80&lt;&gt;""),$C80*Thresholds_Rates!$F$17,IF(AND(OR($B$2="Clinical Lecturer / Medical Research Fellow",$B$2="Clinical Consultant - Old Contract (GP)"),$B80&lt;&gt;""),$C80*Thresholds_Rates!$F$17,IF(AND(OR($B$2="APM Level 7",$B$2="R&amp;T Level 7"),G80&lt;&gt;""),$C80*Thresholds_Rates!$F$17,IF(SUMIF(Grades!$A:$A,$B$2,Grades!$BQ:$BQ)=1,$C80*Thresholds_Rates!$F$17,""))))))))</f>
        <v/>
      </c>
      <c r="I80" s="81" t="str">
        <f ca="1">IF($B80="","",IF($C80=0,0,ROUND(($C80-(Thresholds_Rates!$C$5*12))*Thresholds_Rates!$C$10,0)))</f>
        <v/>
      </c>
      <c r="J80" s="81" t="str">
        <f ca="1">IF(B80="","",(C80*Thresholds_Rates!$C$12))</f>
        <v/>
      </c>
      <c r="K80" s="81" t="str">
        <f ca="1">IF(B80="","",IF(AND($B$2="Salary Points 1 to 57",B80&gt;Thresholds_Rates!$C$17),"-",IF(SUMIF(Grades!$A:$A,$B$2,Grades!$BR:$BR)=0,"-",IF(AND($B$2="Salary Points 1 to 57",B80&lt;=Thresholds_Rates!$C$17),$C80*Thresholds_Rates!$F$18,IF(AND(OR($B$2="New Consultant Contract"),$B80&lt;&gt;""),$C80*Thresholds_Rates!$F$18,IF(AND(OR($B$2="Clinical Lecturer / Medical Research Fellow",$B$2="Clinical Consultant - Old Contract (GP)"),$B80&lt;&gt;""),$C80*Thresholds_Rates!$F$18,IF(AND(OR($B$2="APM Level 7",$B$2="R&amp;T Level 7"),I80&lt;&gt;""),$C80*Thresholds_Rates!$F$18,IF(SUMIF(Grades!$A:$A,$B$2,Grades!$BQ:$BQ)=1,$C80*Thresholds_Rates!$F$18,""))))))))</f>
        <v/>
      </c>
      <c r="L80" s="68"/>
      <c r="M80" s="81" t="str">
        <f t="shared" ca="1" si="6"/>
        <v/>
      </c>
      <c r="N80" s="81" t="str">
        <f t="shared" ca="1" si="7"/>
        <v/>
      </c>
      <c r="O80" s="81" t="str">
        <f t="shared" ca="1" si="8"/>
        <v/>
      </c>
      <c r="P80" s="81" t="str">
        <f t="shared" ca="1" si="9"/>
        <v/>
      </c>
      <c r="Q80" s="81" t="str">
        <f t="shared" ca="1" si="10"/>
        <v/>
      </c>
      <c r="R80" s="39"/>
      <c r="S80" s="83" t="str">
        <f ca="1">IF(B80="","",IF($B$2="R&amp;T Level 5 - Clinical Lecturers (Vet School)",SUMIF('Points Lookup'!$V:$V,$B80,'Points Lookup'!$W:$W),IF($B$2="R&amp;T Level 6 - Clinical Associate Professors and Clinical Readers (Vet School)",SUMIF('Points Lookup'!$AC:$AC,$B80,'Points Lookup'!$AD:$AD),"")))</f>
        <v/>
      </c>
      <c r="T80" s="84" t="str">
        <f ca="1">IF(B80="","",IF($B$2="R&amp;T Level 5 - Clinical Lecturers (Vet School)",$C80-SUMIF('Points Lookup'!$V:$V,$B80,'Points Lookup'!$X:$X),IF($B$2="R&amp;T Level 6 - Clinical Associate Professors and Clinical Readers (Vet School)",$C80-SUMIF('Points Lookup'!$AC:$AC,$B80,'Points Lookup'!$AE:$AE),"")))</f>
        <v/>
      </c>
      <c r="U80" s="83" t="str">
        <f ca="1">IF(B80="","",IF($B$2="R&amp;T Level 5 - Clinical Lecturers (Vet School)",SUMIF('Points Lookup'!$V:$V,$B80,'Points Lookup'!$Z:$Z),IF($B$2="R&amp;T Level 6 - Clinical Associate Professors and Clinical Readers (Vet School)",SUMIF('Points Lookup'!$AC:$AC,$B80,'Points Lookup'!$AG:$AG),"")))</f>
        <v/>
      </c>
      <c r="V80" s="84" t="str">
        <f t="shared" ca="1" si="11"/>
        <v/>
      </c>
      <c r="Z80" s="39"/>
      <c r="AA80" s="39"/>
      <c r="AB80" s="39"/>
      <c r="AC80" s="39"/>
      <c r="AD80" s="39"/>
      <c r="AE80" s="39"/>
      <c r="AF80" s="39"/>
      <c r="AO80" s="39"/>
      <c r="AP80" s="39"/>
      <c r="AQ80" s="39"/>
      <c r="AR80" s="39"/>
      <c r="AS80" s="39"/>
      <c r="AT80" s="39"/>
      <c r="AU80" s="39"/>
      <c r="AV80" s="39"/>
      <c r="AW80" s="39"/>
      <c r="AX80" s="39"/>
      <c r="AY80" s="39"/>
      <c r="AZ80" s="39"/>
      <c r="BA80" s="39"/>
      <c r="BB80" s="39"/>
      <c r="BC80" s="39"/>
    </row>
    <row r="81" spans="2:55" s="69" customFormat="1" x14ac:dyDescent="0.25">
      <c r="B81" s="68" t="str">
        <f ca="1">IFERROR(INDEX('Points Lookup'!$A:$A,MATCH($AA83,'Points Lookup'!$AN:$AN,0)),"")</f>
        <v/>
      </c>
      <c r="C81" s="81" t="str">
        <f ca="1">IF(B81="","",SUMIF(INDIRECT("'Points Lookup'!"&amp;VLOOKUP($B$2,Grades!A:BU,72,FALSE)&amp;":"&amp;VLOOKUP($B$2,Grades!A:BU,72,FALSE)),B81,INDIRECT("'Points Lookup'!"&amp;VLOOKUP($B$2,Grades!A:BU,73,FALSE)&amp;":"&amp;VLOOKUP($B$2,Grades!A:BU,73,FALSE))))</f>
        <v/>
      </c>
      <c r="D81" s="81"/>
      <c r="E81" s="81"/>
      <c r="F81" s="81" t="str">
        <f ca="1">IF($B81="","",IF(SUMIF(Grades!$A:$A,$B$2,Grades!$BO:$BO)=0,"-",IF(AND(VLOOKUP($B$2,Grades!$A:$BV,74,FALSE)="YES",B81&lt;Thresholds_Rates!$C$16),"-",$C81*Thresholds_Rates!$F$15)))</f>
        <v/>
      </c>
      <c r="G81" s="81" t="str">
        <f ca="1">IF(B81="","",IF($B$2="Salary Points 1 to 57","-",IF(SUMIF(Grades!$A:$A,$B$2,Grades!$BP:$BP)=0,"-",IF(AND(OR($B$2="New Consultant Contract"),$B81&lt;&gt;""),$C81*Thresholds_Rates!$F$16,IF(AND(OR($B$2="Clinical Lecturer / Medical Research Fellow",$B$2="Clinical Consultant - Old Contract (GP)"),$B81&lt;&gt;""),$C81*Thresholds_Rates!$F$16,IF(AND(OR($B$2="APM Level 7",$B$2="R&amp;T Level 7"),F81&lt;&gt;""),$C81*Thresholds_Rates!$F$16,IF(SUMIF(Grades!$A:$A,$B$2,Grades!$BP:$BP)=1,$C81*Thresholds_Rates!$F$16,"")))))))</f>
        <v/>
      </c>
      <c r="H81" s="81" t="str">
        <f ca="1">IF(B81="","",IF(SUMIF(Grades!$A:$A,$B$2,Grades!$BQ:$BQ)=0,"-",IF(AND($B$2="Salary Points 1 to 57",B81&gt;Thresholds_Rates!$C$17),"-",IF(AND($B$2="Salary Points 1 to 57",B81&lt;=Thresholds_Rates!$C$17),$C81*Thresholds_Rates!$F$17,IF(AND(OR($B$2="New Consultant Contract"),$B81&lt;&gt;""),$C81*Thresholds_Rates!$F$17,IF(AND(OR($B$2="Clinical Lecturer / Medical Research Fellow",$B$2="Clinical Consultant - Old Contract (GP)"),$B81&lt;&gt;""),$C81*Thresholds_Rates!$F$17,IF(AND(OR($B$2="APM Level 7",$B$2="R&amp;T Level 7"),G81&lt;&gt;""),$C81*Thresholds_Rates!$F$17,IF(SUMIF(Grades!$A:$A,$B$2,Grades!$BQ:$BQ)=1,$C81*Thresholds_Rates!$F$17,""))))))))</f>
        <v/>
      </c>
      <c r="I81" s="81" t="str">
        <f ca="1">IF($B81="","",IF($C81=0,0,ROUND(($C81-(Thresholds_Rates!$C$5*12))*Thresholds_Rates!$C$10,0)))</f>
        <v/>
      </c>
      <c r="J81" s="81" t="str">
        <f ca="1">IF(B81="","",(C81*Thresholds_Rates!$C$12))</f>
        <v/>
      </c>
      <c r="K81" s="81" t="str">
        <f ca="1">IF(B81="","",IF(AND($B$2="Salary Points 1 to 57",B81&gt;Thresholds_Rates!$C$17),"-",IF(SUMIF(Grades!$A:$A,$B$2,Grades!$BR:$BR)=0,"-",IF(AND($B$2="Salary Points 1 to 57",B81&lt;=Thresholds_Rates!$C$17),$C81*Thresholds_Rates!$F$18,IF(AND(OR($B$2="New Consultant Contract"),$B81&lt;&gt;""),$C81*Thresholds_Rates!$F$18,IF(AND(OR($B$2="Clinical Lecturer / Medical Research Fellow",$B$2="Clinical Consultant - Old Contract (GP)"),$B81&lt;&gt;""),$C81*Thresholds_Rates!$F$18,IF(AND(OR($B$2="APM Level 7",$B$2="R&amp;T Level 7"),I81&lt;&gt;""),$C81*Thresholds_Rates!$F$18,IF(SUMIF(Grades!$A:$A,$B$2,Grades!$BQ:$BQ)=1,$C81*Thresholds_Rates!$F$18,""))))))))</f>
        <v/>
      </c>
      <c r="L81" s="68"/>
      <c r="M81" s="81" t="str">
        <f t="shared" ca="1" si="6"/>
        <v/>
      </c>
      <c r="N81" s="81" t="str">
        <f t="shared" ca="1" si="7"/>
        <v/>
      </c>
      <c r="O81" s="81" t="str">
        <f t="shared" ca="1" si="8"/>
        <v/>
      </c>
      <c r="P81" s="81" t="str">
        <f t="shared" ca="1" si="9"/>
        <v/>
      </c>
      <c r="Q81" s="81" t="str">
        <f t="shared" ca="1" si="10"/>
        <v/>
      </c>
      <c r="R81" s="39"/>
      <c r="S81" s="83" t="str">
        <f ca="1">IF(B81="","",IF($B$2="R&amp;T Level 5 - Clinical Lecturers (Vet School)",SUMIF('Points Lookup'!$V:$V,$B81,'Points Lookup'!$W:$W),IF($B$2="R&amp;T Level 6 - Clinical Associate Professors and Clinical Readers (Vet School)",SUMIF('Points Lookup'!$AC:$AC,$B81,'Points Lookup'!$AD:$AD),"")))</f>
        <v/>
      </c>
      <c r="T81" s="84" t="str">
        <f ca="1">IF(B81="","",IF($B$2="R&amp;T Level 5 - Clinical Lecturers (Vet School)",$C81-SUMIF('Points Lookup'!$V:$V,$B81,'Points Lookup'!$X:$X),IF($B$2="R&amp;T Level 6 - Clinical Associate Professors and Clinical Readers (Vet School)",$C81-SUMIF('Points Lookup'!$AC:$AC,$B81,'Points Lookup'!$AE:$AE),"")))</f>
        <v/>
      </c>
      <c r="U81" s="83" t="str">
        <f ca="1">IF(B81="","",IF($B$2="R&amp;T Level 5 - Clinical Lecturers (Vet School)",SUMIF('Points Lookup'!$V:$V,$B81,'Points Lookup'!$Z:$Z),IF($B$2="R&amp;T Level 6 - Clinical Associate Professors and Clinical Readers (Vet School)",SUMIF('Points Lookup'!$AC:$AC,$B81,'Points Lookup'!$AG:$AG),"")))</f>
        <v/>
      </c>
      <c r="V81" s="84" t="str">
        <f t="shared" ca="1" si="11"/>
        <v/>
      </c>
      <c r="Z81" s="39"/>
      <c r="AA81" s="39"/>
      <c r="AB81" s="39"/>
      <c r="AC81" s="39"/>
      <c r="AD81" s="39"/>
      <c r="AE81" s="39"/>
      <c r="AF81" s="39"/>
      <c r="AO81" s="39"/>
      <c r="AP81" s="39"/>
      <c r="AQ81" s="39"/>
      <c r="AR81" s="39"/>
      <c r="AS81" s="39"/>
      <c r="AT81" s="39"/>
      <c r="AU81" s="39"/>
      <c r="AV81" s="39"/>
      <c r="AW81" s="39"/>
      <c r="AX81" s="39"/>
      <c r="AY81" s="39"/>
      <c r="AZ81" s="39"/>
      <c r="BA81" s="39"/>
      <c r="BB81" s="39"/>
      <c r="BC81" s="39"/>
    </row>
    <row r="82" spans="2:55" s="69" customFormat="1" x14ac:dyDescent="0.25">
      <c r="B82" s="68" t="str">
        <f ca="1">IFERROR(INDEX('Points Lookup'!$A:$A,MATCH($AA84,'Points Lookup'!$AN:$AN,0)),"")</f>
        <v/>
      </c>
      <c r="C82" s="81" t="str">
        <f ca="1">IF(B82="","",SUMIF(INDIRECT("'Points Lookup'!"&amp;VLOOKUP($B$2,Grades!A:BU,72,FALSE)&amp;":"&amp;VLOOKUP($B$2,Grades!A:BU,72,FALSE)),B82,INDIRECT("'Points Lookup'!"&amp;VLOOKUP($B$2,Grades!A:BU,73,FALSE)&amp;":"&amp;VLOOKUP($B$2,Grades!A:BU,73,FALSE))))</f>
        <v/>
      </c>
      <c r="D82" s="81"/>
      <c r="E82" s="81"/>
      <c r="F82" s="81" t="str">
        <f ca="1">IF($B82="","",IF(SUMIF(Grades!$A:$A,$B$2,Grades!$BO:$BO)=0,"-",IF(AND(VLOOKUP($B$2,Grades!$A:$BV,74,FALSE)="YES",B82&lt;Thresholds_Rates!$C$16),"-",$C82*Thresholds_Rates!$F$15)))</f>
        <v/>
      </c>
      <c r="G82" s="81" t="str">
        <f ca="1">IF(B82="","",IF($B$2="Salary Points 1 to 57","-",IF(SUMIF(Grades!$A:$A,$B$2,Grades!$BP:$BP)=0,"-",IF(AND(OR($B$2="New Consultant Contract"),$B82&lt;&gt;""),$C82*Thresholds_Rates!$F$16,IF(AND(OR($B$2="Clinical Lecturer / Medical Research Fellow",$B$2="Clinical Consultant - Old Contract (GP)"),$B82&lt;&gt;""),$C82*Thresholds_Rates!$F$16,IF(AND(OR($B$2="APM Level 7",$B$2="R&amp;T Level 7"),F82&lt;&gt;""),$C82*Thresholds_Rates!$F$16,IF(SUMIF(Grades!$A:$A,$B$2,Grades!$BP:$BP)=1,$C82*Thresholds_Rates!$F$16,"")))))))</f>
        <v/>
      </c>
      <c r="H82" s="81" t="str">
        <f ca="1">IF(B82="","",IF(SUMIF(Grades!$A:$A,$B$2,Grades!$BQ:$BQ)=0,"-",IF(AND($B$2="Salary Points 1 to 57",B82&gt;Thresholds_Rates!$C$17),"-",IF(AND($B$2="Salary Points 1 to 57",B82&lt;=Thresholds_Rates!$C$17),$C82*Thresholds_Rates!$F$17,IF(AND(OR($B$2="New Consultant Contract"),$B82&lt;&gt;""),$C82*Thresholds_Rates!$F$17,IF(AND(OR($B$2="Clinical Lecturer / Medical Research Fellow",$B$2="Clinical Consultant - Old Contract (GP)"),$B82&lt;&gt;""),$C82*Thresholds_Rates!$F$17,IF(AND(OR($B$2="APM Level 7",$B$2="R&amp;T Level 7"),G82&lt;&gt;""),$C82*Thresholds_Rates!$F$17,IF(SUMIF(Grades!$A:$A,$B$2,Grades!$BQ:$BQ)=1,$C82*Thresholds_Rates!$F$17,""))))))))</f>
        <v/>
      </c>
      <c r="I82" s="81" t="str">
        <f ca="1">IF($B82="","",IF($C82=0,0,ROUND(($C82-(Thresholds_Rates!$C$5*12))*Thresholds_Rates!$C$10,0)))</f>
        <v/>
      </c>
      <c r="J82" s="81" t="str">
        <f ca="1">IF(B82="","",(C82*Thresholds_Rates!$C$12))</f>
        <v/>
      </c>
      <c r="K82" s="81" t="str">
        <f ca="1">IF(B82="","",IF(AND($B$2="Salary Points 1 to 57",B82&gt;Thresholds_Rates!$C$17),"-",IF(SUMIF(Grades!$A:$A,$B$2,Grades!$BR:$BR)=0,"-",IF(AND($B$2="Salary Points 1 to 57",B82&lt;=Thresholds_Rates!$C$17),$C82*Thresholds_Rates!$F$18,IF(AND(OR($B$2="New Consultant Contract"),$B82&lt;&gt;""),$C82*Thresholds_Rates!$F$18,IF(AND(OR($B$2="Clinical Lecturer / Medical Research Fellow",$B$2="Clinical Consultant - Old Contract (GP)"),$B82&lt;&gt;""),$C82*Thresholds_Rates!$F$18,IF(AND(OR($B$2="APM Level 7",$B$2="R&amp;T Level 7"),I82&lt;&gt;""),$C82*Thresholds_Rates!$F$18,IF(SUMIF(Grades!$A:$A,$B$2,Grades!$BQ:$BQ)=1,$C82*Thresholds_Rates!$F$18,""))))))))</f>
        <v/>
      </c>
      <c r="L82" s="68"/>
      <c r="M82" s="81" t="str">
        <f t="shared" ca="1" si="6"/>
        <v/>
      </c>
      <c r="N82" s="81" t="str">
        <f t="shared" ca="1" si="7"/>
        <v/>
      </c>
      <c r="O82" s="81" t="str">
        <f t="shared" ca="1" si="8"/>
        <v/>
      </c>
      <c r="P82" s="81" t="str">
        <f t="shared" ca="1" si="9"/>
        <v/>
      </c>
      <c r="Q82" s="81" t="str">
        <f t="shared" ca="1" si="10"/>
        <v/>
      </c>
      <c r="R82" s="39"/>
      <c r="S82" s="83" t="str">
        <f ca="1">IF(B82="","",IF($B$2="R&amp;T Level 5 - Clinical Lecturers (Vet School)",SUMIF('Points Lookup'!$V:$V,$B82,'Points Lookup'!$W:$W),IF($B$2="R&amp;T Level 6 - Clinical Associate Professors and Clinical Readers (Vet School)",SUMIF('Points Lookup'!$AC:$AC,$B82,'Points Lookup'!$AD:$AD),"")))</f>
        <v/>
      </c>
      <c r="T82" s="84" t="str">
        <f ca="1">IF(B82="","",IF($B$2="R&amp;T Level 5 - Clinical Lecturers (Vet School)",$C82-SUMIF('Points Lookup'!$V:$V,$B82,'Points Lookup'!$X:$X),IF($B$2="R&amp;T Level 6 - Clinical Associate Professors and Clinical Readers (Vet School)",$C82-SUMIF('Points Lookup'!$AC:$AC,$B82,'Points Lookup'!$AE:$AE),"")))</f>
        <v/>
      </c>
      <c r="U82" s="83" t="str">
        <f ca="1">IF(B82="","",IF($B$2="R&amp;T Level 5 - Clinical Lecturers (Vet School)",SUMIF('Points Lookup'!$V:$V,$B82,'Points Lookup'!$Z:$Z),IF($B$2="R&amp;T Level 6 - Clinical Associate Professors and Clinical Readers (Vet School)",SUMIF('Points Lookup'!$AC:$AC,$B82,'Points Lookup'!$AG:$AG),"")))</f>
        <v/>
      </c>
      <c r="V82" s="84" t="str">
        <f t="shared" ca="1" si="11"/>
        <v/>
      </c>
      <c r="Z82" s="39"/>
      <c r="AA82" s="39"/>
      <c r="AB82" s="39"/>
      <c r="AC82" s="39"/>
      <c r="AD82" s="39"/>
      <c r="AE82" s="39"/>
      <c r="AF82" s="39"/>
      <c r="AO82" s="39"/>
      <c r="AP82" s="39"/>
      <c r="AQ82" s="39"/>
      <c r="AR82" s="39"/>
      <c r="AS82" s="39"/>
      <c r="AT82" s="39"/>
      <c r="AU82" s="39"/>
      <c r="AV82" s="39"/>
      <c r="AW82" s="39"/>
      <c r="AX82" s="39"/>
      <c r="AY82" s="39"/>
      <c r="AZ82" s="39"/>
      <c r="BA82" s="39"/>
      <c r="BB82" s="39"/>
      <c r="BC82" s="39"/>
    </row>
    <row r="83" spans="2:55" s="69" customFormat="1" x14ac:dyDescent="0.25">
      <c r="B83" s="68" t="str">
        <f ca="1">IFERROR(INDEX('Points Lookup'!$A:$A,MATCH($AA85,'Points Lookup'!$AN:$AN,0)),"")</f>
        <v/>
      </c>
      <c r="C83" s="81" t="str">
        <f ca="1">IF(B83="","",SUMIF(INDIRECT("'Points Lookup'!"&amp;VLOOKUP($B$2,Grades!A:BU,72,FALSE)&amp;":"&amp;VLOOKUP($B$2,Grades!A:BU,72,FALSE)),B83,INDIRECT("'Points Lookup'!"&amp;VLOOKUP($B$2,Grades!A:BU,73,FALSE)&amp;":"&amp;VLOOKUP($B$2,Grades!A:BU,73,FALSE))))</f>
        <v/>
      </c>
      <c r="D83" s="81"/>
      <c r="E83" s="81"/>
      <c r="F83" s="81" t="str">
        <f ca="1">IF($B83="","",IF(SUMIF(Grades!$A:$A,$B$2,Grades!$BO:$BO)=0,"-",IF(AND(VLOOKUP($B$2,Grades!$A:$BV,74,FALSE)="YES",B83&lt;Thresholds_Rates!$C$16),"-",$C83*Thresholds_Rates!$F$15)))</f>
        <v/>
      </c>
      <c r="G83" s="81" t="str">
        <f ca="1">IF(B83="","",IF($B$2="Salary Points 1 to 57","-",IF(SUMIF(Grades!$A:$A,$B$2,Grades!$BP:$BP)=0,"-",IF(AND(OR($B$2="New Consultant Contract"),$B83&lt;&gt;""),$C83*Thresholds_Rates!$F$16,IF(AND(OR($B$2="Clinical Lecturer / Medical Research Fellow",$B$2="Clinical Consultant - Old Contract (GP)"),$B83&lt;&gt;""),$C83*Thresholds_Rates!$F$16,IF(AND(OR($B$2="APM Level 7",$B$2="R&amp;T Level 7"),F83&lt;&gt;""),$C83*Thresholds_Rates!$F$16,IF(SUMIF(Grades!$A:$A,$B$2,Grades!$BP:$BP)=1,$C83*Thresholds_Rates!$F$16,"")))))))</f>
        <v/>
      </c>
      <c r="H83" s="81" t="str">
        <f ca="1">IF(B83="","",IF(SUMIF(Grades!$A:$A,$B$2,Grades!$BQ:$BQ)=0,"-",IF(AND($B$2="Salary Points 1 to 57",B83&gt;Thresholds_Rates!$C$17),"-",IF(AND($B$2="Salary Points 1 to 57",B83&lt;=Thresholds_Rates!$C$17),$C83*Thresholds_Rates!$F$17,IF(AND(OR($B$2="New Consultant Contract"),$B83&lt;&gt;""),$C83*Thresholds_Rates!$F$17,IF(AND(OR($B$2="Clinical Lecturer / Medical Research Fellow",$B$2="Clinical Consultant - Old Contract (GP)"),$B83&lt;&gt;""),$C83*Thresholds_Rates!$F$17,IF(AND(OR($B$2="APM Level 7",$B$2="R&amp;T Level 7"),G83&lt;&gt;""),$C83*Thresholds_Rates!$F$17,IF(SUMIF(Grades!$A:$A,$B$2,Grades!$BQ:$BQ)=1,$C83*Thresholds_Rates!$F$17,""))))))))</f>
        <v/>
      </c>
      <c r="I83" s="81" t="str">
        <f ca="1">IF($B83="","",IF($C83=0,0,ROUND(($C83-(Thresholds_Rates!$C$5*12))*Thresholds_Rates!$C$10,0)))</f>
        <v/>
      </c>
      <c r="J83" s="81" t="str">
        <f ca="1">IF(B83="","",(C83*Thresholds_Rates!$C$12))</f>
        <v/>
      </c>
      <c r="K83" s="81" t="str">
        <f ca="1">IF(B83="","",IF(AND($B$2="Salary Points 1 to 57",B83&gt;Thresholds_Rates!$C$17),"-",IF(SUMIF(Grades!$A:$A,$B$2,Grades!$BR:$BR)=0,"-",IF(AND($B$2="Salary Points 1 to 57",B83&lt;=Thresholds_Rates!$C$17),$C83*Thresholds_Rates!$F$18,IF(AND(OR($B$2="New Consultant Contract"),$B83&lt;&gt;""),$C83*Thresholds_Rates!$F$18,IF(AND(OR($B$2="Clinical Lecturer / Medical Research Fellow",$B$2="Clinical Consultant - Old Contract (GP)"),$B83&lt;&gt;""),$C83*Thresholds_Rates!$F$18,IF(AND(OR($B$2="APM Level 7",$B$2="R&amp;T Level 7"),I83&lt;&gt;""),$C83*Thresholds_Rates!$F$18,IF(SUMIF(Grades!$A:$A,$B$2,Grades!$BQ:$BQ)=1,$C83*Thresholds_Rates!$F$18,""))))))))</f>
        <v/>
      </c>
      <c r="L83" s="68"/>
      <c r="M83" s="81" t="str">
        <f t="shared" ca="1" si="6"/>
        <v/>
      </c>
      <c r="N83" s="81" t="str">
        <f t="shared" ca="1" si="7"/>
        <v/>
      </c>
      <c r="O83" s="81" t="str">
        <f t="shared" ca="1" si="8"/>
        <v/>
      </c>
      <c r="P83" s="81" t="str">
        <f t="shared" ca="1" si="9"/>
        <v/>
      </c>
      <c r="Q83" s="81" t="str">
        <f t="shared" ca="1" si="10"/>
        <v/>
      </c>
      <c r="R83" s="39"/>
      <c r="S83" s="83" t="str">
        <f ca="1">IF(B83="","",IF($B$2="R&amp;T Level 5 - Clinical Lecturers (Vet School)",SUMIF('Points Lookup'!$V:$V,$B83,'Points Lookup'!$W:$W),IF($B$2="R&amp;T Level 6 - Clinical Associate Professors and Clinical Readers (Vet School)",SUMIF('Points Lookup'!$AC:$AC,$B83,'Points Lookup'!$AD:$AD),"")))</f>
        <v/>
      </c>
      <c r="T83" s="84" t="str">
        <f ca="1">IF(B83="","",IF($B$2="R&amp;T Level 5 - Clinical Lecturers (Vet School)",$C83-SUMIF('Points Lookup'!$V:$V,$B83,'Points Lookup'!$X:$X),IF($B$2="R&amp;T Level 6 - Clinical Associate Professors and Clinical Readers (Vet School)",$C83-SUMIF('Points Lookup'!$AC:$AC,$B83,'Points Lookup'!$AE:$AE),"")))</f>
        <v/>
      </c>
      <c r="U83" s="83" t="str">
        <f ca="1">IF(B83="","",IF($B$2="R&amp;T Level 5 - Clinical Lecturers (Vet School)",SUMIF('Points Lookup'!$V:$V,$B83,'Points Lookup'!$Z:$Z),IF($B$2="R&amp;T Level 6 - Clinical Associate Professors and Clinical Readers (Vet School)",SUMIF('Points Lookup'!$AC:$AC,$B83,'Points Lookup'!$AG:$AG),"")))</f>
        <v/>
      </c>
      <c r="V83" s="84" t="str">
        <f t="shared" ca="1" si="11"/>
        <v/>
      </c>
      <c r="Z83" s="39"/>
      <c r="AA83" s="39"/>
      <c r="AB83" s="39"/>
      <c r="AC83" s="39"/>
      <c r="AD83" s="39"/>
      <c r="AE83" s="39"/>
      <c r="AF83" s="39"/>
      <c r="AO83" s="39"/>
      <c r="AP83" s="39"/>
      <c r="AQ83" s="39"/>
      <c r="AR83" s="39"/>
      <c r="AS83" s="39"/>
      <c r="AT83" s="39"/>
      <c r="AU83" s="39"/>
      <c r="AV83" s="39"/>
      <c r="AW83" s="39"/>
      <c r="AX83" s="39"/>
      <c r="AY83" s="39"/>
      <c r="AZ83" s="39"/>
      <c r="BA83" s="39"/>
      <c r="BB83" s="39"/>
      <c r="BC83" s="39"/>
    </row>
    <row r="84" spans="2:55" s="69" customFormat="1" x14ac:dyDescent="0.25">
      <c r="B84" s="68" t="str">
        <f ca="1">IFERROR(INDEX('Points Lookup'!$A:$A,MATCH($AA86,'Points Lookup'!$AN:$AN,0)),"")</f>
        <v/>
      </c>
      <c r="C84" s="81" t="str">
        <f ca="1">IF(B84="","",SUMIF(INDIRECT("'Points Lookup'!"&amp;VLOOKUP($B$2,Grades!A:BU,72,FALSE)&amp;":"&amp;VLOOKUP($B$2,Grades!A:BU,72,FALSE)),B84,INDIRECT("'Points Lookup'!"&amp;VLOOKUP($B$2,Grades!A:BU,73,FALSE)&amp;":"&amp;VLOOKUP($B$2,Grades!A:BU,73,FALSE))))</f>
        <v/>
      </c>
      <c r="D84" s="81"/>
      <c r="E84" s="81"/>
      <c r="F84" s="81" t="str">
        <f ca="1">IF($B84="","",IF(SUMIF(Grades!$A:$A,$B$2,Grades!$BO:$BO)=0,"-",IF(AND(VLOOKUP($B$2,Grades!$A:$BV,74,FALSE)="YES",B84&lt;Thresholds_Rates!$C$16),"-",$C84*Thresholds_Rates!$F$15)))</f>
        <v/>
      </c>
      <c r="G84" s="81" t="str">
        <f ca="1">IF(B84="","",IF($B$2="Salary Points 1 to 57","-",IF(SUMIF(Grades!$A:$A,$B$2,Grades!$BP:$BP)=0,"-",IF(AND(OR($B$2="New Consultant Contract"),$B84&lt;&gt;""),$C84*Thresholds_Rates!$F$16,IF(AND(OR($B$2="Clinical Lecturer / Medical Research Fellow",$B$2="Clinical Consultant - Old Contract (GP)"),$B84&lt;&gt;""),$C84*Thresholds_Rates!$F$16,IF(AND(OR($B$2="APM Level 7",$B$2="R&amp;T Level 7"),F84&lt;&gt;""),$C84*Thresholds_Rates!$F$16,IF(SUMIF(Grades!$A:$A,$B$2,Grades!$BP:$BP)=1,$C84*Thresholds_Rates!$F$16,"")))))))</f>
        <v/>
      </c>
      <c r="H84" s="81" t="str">
        <f ca="1">IF(B84="","",IF(SUMIF(Grades!$A:$A,$B$2,Grades!$BQ:$BQ)=0,"-",IF(AND($B$2="Salary Points 1 to 57",B84&gt;Thresholds_Rates!$C$17),"-",IF(AND($B$2="Salary Points 1 to 57",B84&lt;=Thresholds_Rates!$C$17),$C84*Thresholds_Rates!$F$17,IF(AND(OR($B$2="New Consultant Contract"),$B84&lt;&gt;""),$C84*Thresholds_Rates!$F$17,IF(AND(OR($B$2="Clinical Lecturer / Medical Research Fellow",$B$2="Clinical Consultant - Old Contract (GP)"),$B84&lt;&gt;""),$C84*Thresholds_Rates!$F$17,IF(AND(OR($B$2="APM Level 7",$B$2="R&amp;T Level 7"),G84&lt;&gt;""),$C84*Thresholds_Rates!$F$17,IF(SUMIF(Grades!$A:$A,$B$2,Grades!$BQ:$BQ)=1,$C84*Thresholds_Rates!$F$17,""))))))))</f>
        <v/>
      </c>
      <c r="I84" s="81" t="str">
        <f ca="1">IF($B84="","",IF($C84=0,0,ROUND(($C84-(Thresholds_Rates!$C$5*12))*Thresholds_Rates!$C$10,0)))</f>
        <v/>
      </c>
      <c r="J84" s="81" t="str">
        <f ca="1">IF(B84="","",(C84*Thresholds_Rates!$C$12))</f>
        <v/>
      </c>
      <c r="K84" s="81" t="str">
        <f ca="1">IF(B84="","",IF(AND($B$2="Salary Points 1 to 57",B84&gt;Thresholds_Rates!$C$17),"-",IF(SUMIF(Grades!$A:$A,$B$2,Grades!$BR:$BR)=0,"-",IF(AND($B$2="Salary Points 1 to 57",B84&lt;=Thresholds_Rates!$C$17),$C84*Thresholds_Rates!$F$18,IF(AND(OR($B$2="New Consultant Contract"),$B84&lt;&gt;""),$C84*Thresholds_Rates!$F$18,IF(AND(OR($B$2="Clinical Lecturer / Medical Research Fellow",$B$2="Clinical Consultant - Old Contract (GP)"),$B84&lt;&gt;""),$C84*Thresholds_Rates!$F$18,IF(AND(OR($B$2="APM Level 7",$B$2="R&amp;T Level 7"),I84&lt;&gt;""),$C84*Thresholds_Rates!$F$18,IF(SUMIF(Grades!$A:$A,$B$2,Grades!$BQ:$BQ)=1,$C84*Thresholds_Rates!$F$18,""))))))))</f>
        <v/>
      </c>
      <c r="L84" s="68"/>
      <c r="M84" s="81" t="str">
        <f t="shared" ca="1" si="6"/>
        <v/>
      </c>
      <c r="N84" s="81" t="str">
        <f t="shared" ca="1" si="7"/>
        <v/>
      </c>
      <c r="O84" s="81" t="str">
        <f t="shared" ca="1" si="8"/>
        <v/>
      </c>
      <c r="P84" s="81" t="str">
        <f t="shared" ca="1" si="9"/>
        <v/>
      </c>
      <c r="Q84" s="81" t="str">
        <f t="shared" ca="1" si="10"/>
        <v/>
      </c>
      <c r="R84" s="39"/>
      <c r="S84" s="83" t="str">
        <f ca="1">IF(B84="","",IF($B$2="R&amp;T Level 5 - Clinical Lecturers (Vet School)",SUMIF('Points Lookup'!$V:$V,$B84,'Points Lookup'!$W:$W),IF($B$2="R&amp;T Level 6 - Clinical Associate Professors and Clinical Readers (Vet School)",SUMIF('Points Lookup'!$AC:$AC,$B84,'Points Lookup'!$AD:$AD),"")))</f>
        <v/>
      </c>
      <c r="T84" s="84" t="str">
        <f ca="1">IF(B84="","",IF($B$2="R&amp;T Level 5 - Clinical Lecturers (Vet School)",$C84-SUMIF('Points Lookup'!$V:$V,$B84,'Points Lookup'!$X:$X),IF($B$2="R&amp;T Level 6 - Clinical Associate Professors and Clinical Readers (Vet School)",$C84-SUMIF('Points Lookup'!$AC:$AC,$B84,'Points Lookup'!$AE:$AE),"")))</f>
        <v/>
      </c>
      <c r="U84" s="83" t="str">
        <f ca="1">IF(B84="","",IF($B$2="R&amp;T Level 5 - Clinical Lecturers (Vet School)",SUMIF('Points Lookup'!$V:$V,$B84,'Points Lookup'!$Z:$Z),IF($B$2="R&amp;T Level 6 - Clinical Associate Professors and Clinical Readers (Vet School)",SUMIF('Points Lookup'!$AC:$AC,$B84,'Points Lookup'!$AG:$AG),"")))</f>
        <v/>
      </c>
      <c r="V84" s="84" t="str">
        <f t="shared" ca="1" si="11"/>
        <v/>
      </c>
      <c r="Z84" s="39"/>
      <c r="AA84" s="39"/>
      <c r="AB84" s="39"/>
      <c r="AC84" s="39"/>
      <c r="AD84" s="39"/>
      <c r="AE84" s="39"/>
      <c r="AF84" s="39"/>
      <c r="AO84" s="39"/>
      <c r="AP84" s="39"/>
      <c r="AQ84" s="39"/>
      <c r="AR84" s="39"/>
      <c r="AS84" s="39"/>
      <c r="AT84" s="39"/>
      <c r="AU84" s="39"/>
      <c r="AV84" s="39"/>
      <c r="AW84" s="39"/>
      <c r="AX84" s="39"/>
      <c r="AY84" s="39"/>
      <c r="AZ84" s="39"/>
      <c r="BA84" s="39"/>
      <c r="BB84" s="39"/>
      <c r="BC84" s="39"/>
    </row>
    <row r="85" spans="2:55" s="69" customFormat="1" x14ac:dyDescent="0.25">
      <c r="B85" s="68" t="str">
        <f ca="1">IFERROR(INDEX('Points Lookup'!$A:$A,MATCH($AA87,'Points Lookup'!$AN:$AN,0)),"")</f>
        <v/>
      </c>
      <c r="C85" s="81" t="str">
        <f ca="1">IF(B85="","",SUMIF(INDIRECT("'Points Lookup'!"&amp;VLOOKUP($B$2,Grades!A:BU,72,FALSE)&amp;":"&amp;VLOOKUP($B$2,Grades!A:BU,72,FALSE)),B85,INDIRECT("'Points Lookup'!"&amp;VLOOKUP($B$2,Grades!A:BU,73,FALSE)&amp;":"&amp;VLOOKUP($B$2,Grades!A:BU,73,FALSE))))</f>
        <v/>
      </c>
      <c r="D85" s="81"/>
      <c r="E85" s="81"/>
      <c r="F85" s="81" t="str">
        <f ca="1">IF($B85="","",IF(SUMIF(Grades!$A:$A,$B$2,Grades!$BO:$BO)=0,"-",IF(AND(VLOOKUP($B$2,Grades!$A:$BV,74,FALSE)="YES",B85&lt;Thresholds_Rates!$C$16),"-",$C85*Thresholds_Rates!$F$15)))</f>
        <v/>
      </c>
      <c r="G85" s="81" t="str">
        <f ca="1">IF(B85="","",IF($B$2="Salary Points 1 to 57","-",IF(SUMIF(Grades!$A:$A,$B$2,Grades!$BP:$BP)=0,"-",IF(AND(OR($B$2="New Consultant Contract"),$B85&lt;&gt;""),$C85*Thresholds_Rates!$F$16,IF(AND(OR($B$2="Clinical Lecturer / Medical Research Fellow",$B$2="Clinical Consultant - Old Contract (GP)"),$B85&lt;&gt;""),$C85*Thresholds_Rates!$F$16,IF(AND(OR($B$2="APM Level 7",$B$2="R&amp;T Level 7"),F85&lt;&gt;""),$C85*Thresholds_Rates!$F$16,IF(SUMIF(Grades!$A:$A,$B$2,Grades!$BP:$BP)=1,$C85*Thresholds_Rates!$F$16,"")))))))</f>
        <v/>
      </c>
      <c r="H85" s="81" t="str">
        <f ca="1">IF(B85="","",IF(SUMIF(Grades!$A:$A,$B$2,Grades!$BQ:$BQ)=0,"-",IF(AND($B$2="Salary Points 1 to 57",B85&gt;Thresholds_Rates!$C$17),"-",IF(AND($B$2="Salary Points 1 to 57",B85&lt;=Thresholds_Rates!$C$17),$C85*Thresholds_Rates!$F$17,IF(AND(OR($B$2="New Consultant Contract"),$B85&lt;&gt;""),$C85*Thresholds_Rates!$F$17,IF(AND(OR($B$2="Clinical Lecturer / Medical Research Fellow",$B$2="Clinical Consultant - Old Contract (GP)"),$B85&lt;&gt;""),$C85*Thresholds_Rates!$F$17,IF(AND(OR($B$2="APM Level 7",$B$2="R&amp;T Level 7"),G85&lt;&gt;""),$C85*Thresholds_Rates!$F$17,IF(SUMIF(Grades!$A:$A,$B$2,Grades!$BQ:$BQ)=1,$C85*Thresholds_Rates!$F$17,""))))))))</f>
        <v/>
      </c>
      <c r="I85" s="81" t="str">
        <f ca="1">IF($B85="","",IF($C85=0,0,ROUND(($C85-(Thresholds_Rates!$C$5*12))*Thresholds_Rates!$C$10,0)))</f>
        <v/>
      </c>
      <c r="J85" s="81" t="str">
        <f ca="1">IF(B85="","",(C85*Thresholds_Rates!$C$12))</f>
        <v/>
      </c>
      <c r="K85" s="81" t="str">
        <f ca="1">IF(B85="","",IF(AND($B$2="Salary Points 1 to 57",B85&gt;Thresholds_Rates!$C$17),"-",IF(SUMIF(Grades!$A:$A,$B$2,Grades!$BR:$BR)=0,"-",IF(AND($B$2="Salary Points 1 to 57",B85&lt;=Thresholds_Rates!$C$17),$C85*Thresholds_Rates!$F$18,IF(AND(OR($B$2="New Consultant Contract"),$B85&lt;&gt;""),$C85*Thresholds_Rates!$F$18,IF(AND(OR($B$2="Clinical Lecturer / Medical Research Fellow",$B$2="Clinical Consultant - Old Contract (GP)"),$B85&lt;&gt;""),$C85*Thresholds_Rates!$F$18,IF(AND(OR($B$2="APM Level 7",$B$2="R&amp;T Level 7"),I85&lt;&gt;""),$C85*Thresholds_Rates!$F$18,IF(SUMIF(Grades!$A:$A,$B$2,Grades!$BQ:$BQ)=1,$C85*Thresholds_Rates!$F$18,""))))))))</f>
        <v/>
      </c>
      <c r="L85" s="68"/>
      <c r="M85" s="81" t="str">
        <f t="shared" ca="1" si="6"/>
        <v/>
      </c>
      <c r="N85" s="81" t="str">
        <f t="shared" ca="1" si="7"/>
        <v/>
      </c>
      <c r="O85" s="81" t="str">
        <f t="shared" ca="1" si="8"/>
        <v/>
      </c>
      <c r="P85" s="81" t="str">
        <f t="shared" ca="1" si="9"/>
        <v/>
      </c>
      <c r="Q85" s="81" t="str">
        <f t="shared" ca="1" si="10"/>
        <v/>
      </c>
      <c r="R85" s="39"/>
      <c r="S85" s="83" t="str">
        <f ca="1">IF(B85="","",IF($B$2="R&amp;T Level 5 - Clinical Lecturers (Vet School)",SUMIF('Points Lookup'!$V:$V,$B85,'Points Lookup'!$W:$W),IF($B$2="R&amp;T Level 6 - Clinical Associate Professors and Clinical Readers (Vet School)",SUMIF('Points Lookup'!$AC:$AC,$B85,'Points Lookup'!$AD:$AD),"")))</f>
        <v/>
      </c>
      <c r="T85" s="84" t="str">
        <f ca="1">IF(B85="","",IF($B$2="R&amp;T Level 5 - Clinical Lecturers (Vet School)",$C85-SUMIF('Points Lookup'!$V:$V,$B85,'Points Lookup'!$X:$X),IF($B$2="R&amp;T Level 6 - Clinical Associate Professors and Clinical Readers (Vet School)",$C85-SUMIF('Points Lookup'!$AC:$AC,$B85,'Points Lookup'!$AE:$AE),"")))</f>
        <v/>
      </c>
      <c r="U85" s="83" t="str">
        <f ca="1">IF(B85="","",IF($B$2="R&amp;T Level 5 - Clinical Lecturers (Vet School)",SUMIF('Points Lookup'!$V:$V,$B85,'Points Lookup'!$Z:$Z),IF($B$2="R&amp;T Level 6 - Clinical Associate Professors and Clinical Readers (Vet School)",SUMIF('Points Lookup'!$AC:$AC,$B85,'Points Lookup'!$AG:$AG),"")))</f>
        <v/>
      </c>
      <c r="V85" s="84" t="str">
        <f t="shared" ca="1" si="11"/>
        <v/>
      </c>
      <c r="Z85" s="39"/>
      <c r="AA85" s="39"/>
      <c r="AB85" s="39"/>
      <c r="AC85" s="39"/>
      <c r="AD85" s="39"/>
      <c r="AE85" s="39"/>
      <c r="AF85" s="39"/>
      <c r="AO85" s="39"/>
      <c r="AP85" s="39"/>
      <c r="AQ85" s="39"/>
      <c r="AR85" s="39"/>
      <c r="AS85" s="39"/>
      <c r="AT85" s="39"/>
      <c r="AU85" s="39"/>
      <c r="AV85" s="39"/>
      <c r="AW85" s="39"/>
      <c r="AX85" s="39"/>
      <c r="AY85" s="39"/>
      <c r="AZ85" s="39"/>
      <c r="BA85" s="39"/>
      <c r="BB85" s="39"/>
      <c r="BC85" s="39"/>
    </row>
    <row r="86" spans="2:55" s="69" customFormat="1" x14ac:dyDescent="0.25">
      <c r="B86" s="68" t="str">
        <f ca="1">IFERROR(INDEX('Points Lookup'!$A:$A,MATCH($AA88,'Points Lookup'!$AN:$AN,0)),"")</f>
        <v/>
      </c>
      <c r="C86" s="81" t="str">
        <f ca="1">IF(B86="","",SUMIF(INDIRECT("'Points Lookup'!"&amp;VLOOKUP($B$2,Grades!A:BU,72,FALSE)&amp;":"&amp;VLOOKUP($B$2,Grades!A:BU,72,FALSE)),B86,INDIRECT("'Points Lookup'!"&amp;VLOOKUP($B$2,Grades!A:BU,73,FALSE)&amp;":"&amp;VLOOKUP($B$2,Grades!A:BU,73,FALSE))))</f>
        <v/>
      </c>
      <c r="D86" s="81"/>
      <c r="E86" s="81"/>
      <c r="F86" s="81" t="str">
        <f ca="1">IF($B86="","",IF(SUMIF(Grades!$A:$A,$B$2,Grades!$BO:$BO)=0,"-",IF(AND(VLOOKUP($B$2,Grades!$A:$BV,74,FALSE)="YES",B86&lt;Thresholds_Rates!$C$16),"-",$C86*Thresholds_Rates!$F$15)))</f>
        <v/>
      </c>
      <c r="G86" s="81" t="str">
        <f ca="1">IF(B86="","",IF($B$2="Salary Points 1 to 57","-",IF(SUMIF(Grades!$A:$A,$B$2,Grades!$BP:$BP)=0,"-",IF(AND(OR($B$2="New Consultant Contract"),$B86&lt;&gt;""),$C86*Thresholds_Rates!$F$16,IF(AND(OR($B$2="Clinical Lecturer / Medical Research Fellow",$B$2="Clinical Consultant - Old Contract (GP)"),$B86&lt;&gt;""),$C86*Thresholds_Rates!$F$16,IF(AND(OR($B$2="APM Level 7",$B$2="R&amp;T Level 7"),F86&lt;&gt;""),$C86*Thresholds_Rates!$F$16,IF(SUMIF(Grades!$A:$A,$B$2,Grades!$BP:$BP)=1,$C86*Thresholds_Rates!$F$16,"")))))))</f>
        <v/>
      </c>
      <c r="H86" s="81" t="str">
        <f ca="1">IF(B86="","",IF(SUMIF(Grades!$A:$A,$B$2,Grades!$BQ:$BQ)=0,"-",IF(AND($B$2="Salary Points 1 to 57",B86&gt;Thresholds_Rates!$C$17),"-",IF(AND($B$2="Salary Points 1 to 57",B86&lt;=Thresholds_Rates!$C$17),$C86*Thresholds_Rates!$F$17,IF(AND(OR($B$2="New Consultant Contract"),$B86&lt;&gt;""),$C86*Thresholds_Rates!$F$17,IF(AND(OR($B$2="Clinical Lecturer / Medical Research Fellow",$B$2="Clinical Consultant - Old Contract (GP)"),$B86&lt;&gt;""),$C86*Thresholds_Rates!$F$17,IF(AND(OR($B$2="APM Level 7",$B$2="R&amp;T Level 7"),G86&lt;&gt;""),$C86*Thresholds_Rates!$F$17,IF(SUMIF(Grades!$A:$A,$B$2,Grades!$BQ:$BQ)=1,$C86*Thresholds_Rates!$F$17,""))))))))</f>
        <v/>
      </c>
      <c r="I86" s="81" t="str">
        <f ca="1">IF($B86="","",IF($C86=0,0,ROUND(($C86-(Thresholds_Rates!$C$5*12))*Thresholds_Rates!$C$10,0)))</f>
        <v/>
      </c>
      <c r="J86" s="81" t="str">
        <f ca="1">IF(B86="","",(C86*Thresholds_Rates!$C$12))</f>
        <v/>
      </c>
      <c r="K86" s="81" t="str">
        <f ca="1">IF(B86="","",IF(AND($B$2="Salary Points 1 to 57",B86&gt;Thresholds_Rates!$C$17),"-",IF(SUMIF(Grades!$A:$A,$B$2,Grades!$BR:$BR)=0,"-",IF(AND($B$2="Salary Points 1 to 57",B86&lt;=Thresholds_Rates!$C$17),$C86*Thresholds_Rates!$F$18,IF(AND(OR($B$2="New Consultant Contract"),$B86&lt;&gt;""),$C86*Thresholds_Rates!$F$18,IF(AND(OR($B$2="Clinical Lecturer / Medical Research Fellow",$B$2="Clinical Consultant - Old Contract (GP)"),$B86&lt;&gt;""),$C86*Thresholds_Rates!$F$18,IF(AND(OR($B$2="APM Level 7",$B$2="R&amp;T Level 7"),I86&lt;&gt;""),$C86*Thresholds_Rates!$F$18,IF(SUMIF(Grades!$A:$A,$B$2,Grades!$BQ:$BQ)=1,$C86*Thresholds_Rates!$F$18,""))))))))</f>
        <v/>
      </c>
      <c r="L86" s="68"/>
      <c r="M86" s="81" t="str">
        <f t="shared" ca="1" si="6"/>
        <v/>
      </c>
      <c r="N86" s="81" t="str">
        <f t="shared" ca="1" si="7"/>
        <v/>
      </c>
      <c r="O86" s="81" t="str">
        <f t="shared" ca="1" si="8"/>
        <v/>
      </c>
      <c r="P86" s="81" t="str">
        <f t="shared" ca="1" si="9"/>
        <v/>
      </c>
      <c r="Q86" s="81" t="str">
        <f t="shared" ca="1" si="10"/>
        <v/>
      </c>
      <c r="R86" s="39"/>
      <c r="S86" s="83" t="str">
        <f ca="1">IF(B86="","",IF($B$2="R&amp;T Level 5 - Clinical Lecturers (Vet School)",SUMIF('Points Lookup'!$V:$V,$B86,'Points Lookup'!$W:$W),IF($B$2="R&amp;T Level 6 - Clinical Associate Professors and Clinical Readers (Vet School)",SUMIF('Points Lookup'!$AC:$AC,$B86,'Points Lookup'!$AD:$AD),"")))</f>
        <v/>
      </c>
      <c r="T86" s="84" t="str">
        <f ca="1">IF(B86="","",IF($B$2="R&amp;T Level 5 - Clinical Lecturers (Vet School)",$C86-SUMIF('Points Lookup'!$V:$V,$B86,'Points Lookup'!$X:$X),IF($B$2="R&amp;T Level 6 - Clinical Associate Professors and Clinical Readers (Vet School)",$C86-SUMIF('Points Lookup'!$AC:$AC,$B86,'Points Lookup'!$AE:$AE),"")))</f>
        <v/>
      </c>
      <c r="U86" s="83" t="str">
        <f ca="1">IF(B86="","",IF($B$2="R&amp;T Level 5 - Clinical Lecturers (Vet School)",SUMIF('Points Lookup'!$V:$V,$B86,'Points Lookup'!$Z:$Z),IF($B$2="R&amp;T Level 6 - Clinical Associate Professors and Clinical Readers (Vet School)",SUMIF('Points Lookup'!$AC:$AC,$B86,'Points Lookup'!$AG:$AG),"")))</f>
        <v/>
      </c>
      <c r="V86" s="84" t="str">
        <f t="shared" ca="1" si="11"/>
        <v/>
      </c>
      <c r="Z86" s="39"/>
      <c r="AA86" s="39"/>
      <c r="AB86" s="39"/>
      <c r="AC86" s="39"/>
      <c r="AD86" s="39"/>
      <c r="AE86" s="39"/>
      <c r="AF86" s="39"/>
      <c r="AO86" s="39"/>
      <c r="AP86" s="39"/>
      <c r="AQ86" s="39"/>
      <c r="AR86" s="39"/>
      <c r="AS86" s="39"/>
      <c r="AT86" s="39"/>
      <c r="AU86" s="39"/>
      <c r="AV86" s="39"/>
      <c r="AW86" s="39"/>
      <c r="AX86" s="39"/>
      <c r="AY86" s="39"/>
      <c r="AZ86" s="39"/>
      <c r="BA86" s="39"/>
      <c r="BB86" s="39"/>
      <c r="BC86" s="39"/>
    </row>
    <row r="87" spans="2:55" s="69" customFormat="1" x14ac:dyDescent="0.25">
      <c r="B87" s="68" t="str">
        <f ca="1">IFERROR(INDEX('Points Lookup'!$A:$A,MATCH($AA89,'Points Lookup'!$AN:$AN,0)),"")</f>
        <v/>
      </c>
      <c r="C87" s="81" t="str">
        <f ca="1">IF(B87="","",SUMIF(INDIRECT("'Points Lookup'!"&amp;VLOOKUP($B$2,Grades!A:BU,72,FALSE)&amp;":"&amp;VLOOKUP($B$2,Grades!A:BU,72,FALSE)),B87,INDIRECT("'Points Lookup'!"&amp;VLOOKUP($B$2,Grades!A:BU,73,FALSE)&amp;":"&amp;VLOOKUP($B$2,Grades!A:BU,73,FALSE))))</f>
        <v/>
      </c>
      <c r="D87" s="81"/>
      <c r="E87" s="81"/>
      <c r="F87" s="81" t="str">
        <f ca="1">IF($B87="","",IF(SUMIF(Grades!$A:$A,$B$2,Grades!$BO:$BO)=0,"-",IF(AND(VLOOKUP($B$2,Grades!$A:$BV,74,FALSE)="YES",B87&lt;Thresholds_Rates!$C$16),"-",$C87*Thresholds_Rates!$F$15)))</f>
        <v/>
      </c>
      <c r="G87" s="81" t="str">
        <f ca="1">IF(B87="","",IF($B$2="Salary Points 1 to 57","-",IF(SUMIF(Grades!$A:$A,$B$2,Grades!$BP:$BP)=0,"-",IF(AND(OR($B$2="New Consultant Contract"),$B87&lt;&gt;""),$C87*Thresholds_Rates!$F$16,IF(AND(OR($B$2="Clinical Lecturer / Medical Research Fellow",$B$2="Clinical Consultant - Old Contract (GP)"),$B87&lt;&gt;""),$C87*Thresholds_Rates!$F$16,IF(AND(OR($B$2="APM Level 7",$B$2="R&amp;T Level 7"),F87&lt;&gt;""),$C87*Thresholds_Rates!$F$16,IF(SUMIF(Grades!$A:$A,$B$2,Grades!$BP:$BP)=1,$C87*Thresholds_Rates!$F$16,"")))))))</f>
        <v/>
      </c>
      <c r="H87" s="81" t="str">
        <f ca="1">IF(B87="","",IF(SUMIF(Grades!$A:$A,$B$2,Grades!$BQ:$BQ)=0,"-",IF(AND($B$2="Salary Points 1 to 57",B87&gt;Thresholds_Rates!$C$17),"-",IF(AND($B$2="Salary Points 1 to 57",B87&lt;=Thresholds_Rates!$C$17),$C87*Thresholds_Rates!$F$17,IF(AND(OR($B$2="New Consultant Contract"),$B87&lt;&gt;""),$C87*Thresholds_Rates!$F$17,IF(AND(OR($B$2="Clinical Lecturer / Medical Research Fellow",$B$2="Clinical Consultant - Old Contract (GP)"),$B87&lt;&gt;""),$C87*Thresholds_Rates!$F$17,IF(AND(OR($B$2="APM Level 7",$B$2="R&amp;T Level 7"),G87&lt;&gt;""),$C87*Thresholds_Rates!$F$17,IF(SUMIF(Grades!$A:$A,$B$2,Grades!$BQ:$BQ)=1,$C87*Thresholds_Rates!$F$17,""))))))))</f>
        <v/>
      </c>
      <c r="I87" s="81" t="str">
        <f ca="1">IF($B87="","",IF($C87=0,0,ROUND(($C87-(Thresholds_Rates!$C$5*12))*Thresholds_Rates!$C$10,0)))</f>
        <v/>
      </c>
      <c r="J87" s="81" t="str">
        <f ca="1">IF(B87="","",(C87*Thresholds_Rates!$C$12))</f>
        <v/>
      </c>
      <c r="K87" s="81" t="str">
        <f ca="1">IF(B87="","",IF(AND($B$2="Salary Points 1 to 57",B87&gt;Thresholds_Rates!$C$17),"-",IF(SUMIF(Grades!$A:$A,$B$2,Grades!$BR:$BR)=0,"-",IF(AND($B$2="Salary Points 1 to 57",B87&lt;=Thresholds_Rates!$C$17),$C87*Thresholds_Rates!$F$18,IF(AND(OR($B$2="New Consultant Contract"),$B87&lt;&gt;""),$C87*Thresholds_Rates!$F$18,IF(AND(OR($B$2="Clinical Lecturer / Medical Research Fellow",$B$2="Clinical Consultant - Old Contract (GP)"),$B87&lt;&gt;""),$C87*Thresholds_Rates!$F$18,IF(AND(OR($B$2="APM Level 7",$B$2="R&amp;T Level 7"),I87&lt;&gt;""),$C87*Thresholds_Rates!$F$18,IF(SUMIF(Grades!$A:$A,$B$2,Grades!$BQ:$BQ)=1,$C87*Thresholds_Rates!$F$18,""))))))))</f>
        <v/>
      </c>
      <c r="L87" s="68"/>
      <c r="M87" s="81" t="str">
        <f t="shared" ca="1" si="6"/>
        <v/>
      </c>
      <c r="N87" s="81" t="str">
        <f t="shared" ca="1" si="7"/>
        <v/>
      </c>
      <c r="O87" s="81" t="str">
        <f t="shared" ca="1" si="8"/>
        <v/>
      </c>
      <c r="P87" s="81" t="str">
        <f t="shared" ca="1" si="9"/>
        <v/>
      </c>
      <c r="Q87" s="81" t="str">
        <f t="shared" ca="1" si="10"/>
        <v/>
      </c>
      <c r="R87" s="39"/>
      <c r="S87" s="83" t="str">
        <f ca="1">IF(B87="","",IF($B$2="R&amp;T Level 5 - Clinical Lecturers (Vet School)",SUMIF('Points Lookup'!$V:$V,$B87,'Points Lookup'!$W:$W),IF($B$2="R&amp;T Level 6 - Clinical Associate Professors and Clinical Readers (Vet School)",SUMIF('Points Lookup'!$AC:$AC,$B87,'Points Lookup'!$AD:$AD),"")))</f>
        <v/>
      </c>
      <c r="T87" s="84" t="str">
        <f ca="1">IF(B87="","",IF($B$2="R&amp;T Level 5 - Clinical Lecturers (Vet School)",$C87-SUMIF('Points Lookup'!$V:$V,$B87,'Points Lookup'!$X:$X),IF($B$2="R&amp;T Level 6 - Clinical Associate Professors and Clinical Readers (Vet School)",$C87-SUMIF('Points Lookup'!$AC:$AC,$B87,'Points Lookup'!$AE:$AE),"")))</f>
        <v/>
      </c>
      <c r="U87" s="83" t="str">
        <f ca="1">IF(B87="","",IF($B$2="R&amp;T Level 5 - Clinical Lecturers (Vet School)",SUMIF('Points Lookup'!$V:$V,$B87,'Points Lookup'!$Z:$Z),IF($B$2="R&amp;T Level 6 - Clinical Associate Professors and Clinical Readers (Vet School)",SUMIF('Points Lookup'!$AC:$AC,$B87,'Points Lookup'!$AG:$AG),"")))</f>
        <v/>
      </c>
      <c r="V87" s="84" t="str">
        <f t="shared" ca="1" si="11"/>
        <v/>
      </c>
      <c r="Z87" s="39"/>
      <c r="AA87" s="39"/>
      <c r="AB87" s="39"/>
      <c r="AC87" s="39"/>
      <c r="AD87" s="39"/>
      <c r="AE87" s="39"/>
      <c r="AF87" s="39"/>
      <c r="AO87" s="39"/>
      <c r="AP87" s="39"/>
      <c r="AQ87" s="39"/>
      <c r="AR87" s="39"/>
      <c r="AS87" s="39"/>
      <c r="AT87" s="39"/>
      <c r="AU87" s="39"/>
      <c r="AV87" s="39"/>
      <c r="AW87" s="39"/>
      <c r="AX87" s="39"/>
      <c r="AY87" s="39"/>
      <c r="AZ87" s="39"/>
      <c r="BA87" s="39"/>
      <c r="BB87" s="39"/>
      <c r="BC87" s="39"/>
    </row>
    <row r="88" spans="2:55" s="69" customFormat="1" x14ac:dyDescent="0.25">
      <c r="B88" s="68" t="str">
        <f ca="1">IFERROR(INDEX('Points Lookup'!$A:$A,MATCH($AA90,'Points Lookup'!$AN:$AN,0)),"")</f>
        <v/>
      </c>
      <c r="C88" s="81" t="str">
        <f ca="1">IF(B88="","",SUMIF(INDIRECT("'Points Lookup'!"&amp;VLOOKUP($B$2,Grades!A:BU,72,FALSE)&amp;":"&amp;VLOOKUP($B$2,Grades!A:BU,72,FALSE)),B88,INDIRECT("'Points Lookup'!"&amp;VLOOKUP($B$2,Grades!A:BU,73,FALSE)&amp;":"&amp;VLOOKUP($B$2,Grades!A:BU,73,FALSE))))</f>
        <v/>
      </c>
      <c r="D88" s="81"/>
      <c r="E88" s="81"/>
      <c r="F88" s="81" t="str">
        <f ca="1">IF($B88="","",IF(SUMIF(Grades!$A:$A,$B$2,Grades!$BO:$BO)=0,"-",IF(AND(VLOOKUP($B$2,Grades!$A:$BV,74,FALSE)="YES",B88&lt;Thresholds_Rates!$C$16),"-",$C88*Thresholds_Rates!$F$15)))</f>
        <v/>
      </c>
      <c r="G88" s="81" t="str">
        <f ca="1">IF(B88="","",IF($B$2="Salary Points 1 to 57","-",IF(SUMIF(Grades!$A:$A,$B$2,Grades!$BP:$BP)=0,"-",IF(AND(OR($B$2="New Consultant Contract"),$B88&lt;&gt;""),$C88*Thresholds_Rates!$F$16,IF(AND(OR($B$2="Clinical Lecturer / Medical Research Fellow",$B$2="Clinical Consultant - Old Contract (GP)"),$B88&lt;&gt;""),$C88*Thresholds_Rates!$F$16,IF(AND(OR($B$2="APM Level 7",$B$2="R&amp;T Level 7"),F88&lt;&gt;""),$C88*Thresholds_Rates!$F$16,IF(SUMIF(Grades!$A:$A,$B$2,Grades!$BP:$BP)=1,$C88*Thresholds_Rates!$F$16,"")))))))</f>
        <v/>
      </c>
      <c r="H88" s="81" t="str">
        <f ca="1">IF(B88="","",IF(SUMIF(Grades!$A:$A,$B$2,Grades!$BQ:$BQ)=0,"-",IF(AND($B$2="Salary Points 1 to 57",B88&gt;Thresholds_Rates!$C$17),"-",IF(AND($B$2="Salary Points 1 to 57",B88&lt;=Thresholds_Rates!$C$17),$C88*Thresholds_Rates!$F$17,IF(AND(OR($B$2="New Consultant Contract"),$B88&lt;&gt;""),$C88*Thresholds_Rates!$F$17,IF(AND(OR($B$2="Clinical Lecturer / Medical Research Fellow",$B$2="Clinical Consultant - Old Contract (GP)"),$B88&lt;&gt;""),$C88*Thresholds_Rates!$F$17,IF(AND(OR($B$2="APM Level 7",$B$2="R&amp;T Level 7"),G88&lt;&gt;""),$C88*Thresholds_Rates!$F$17,IF(SUMIF(Grades!$A:$A,$B$2,Grades!$BQ:$BQ)=1,$C88*Thresholds_Rates!$F$17,""))))))))</f>
        <v/>
      </c>
      <c r="I88" s="81" t="str">
        <f ca="1">IF($B88="","",IF($C88=0,0,ROUND(($C88-(Thresholds_Rates!$C$5*12))*Thresholds_Rates!$C$10,0)))</f>
        <v/>
      </c>
      <c r="J88" s="81" t="str">
        <f ca="1">IF(B88="","",(C88*Thresholds_Rates!$C$12))</f>
        <v/>
      </c>
      <c r="K88" s="81" t="str">
        <f ca="1">IF(B88="","",IF(AND($B$2="Salary Points 1 to 57",B88&gt;Thresholds_Rates!$C$17),"-",IF(SUMIF(Grades!$A:$A,$B$2,Grades!$BR:$BR)=0,"-",IF(AND($B$2="Salary Points 1 to 57",B88&lt;=Thresholds_Rates!$C$17),$C88*Thresholds_Rates!$F$18,IF(AND(OR($B$2="New Consultant Contract"),$B88&lt;&gt;""),$C88*Thresholds_Rates!$F$18,IF(AND(OR($B$2="Clinical Lecturer / Medical Research Fellow",$B$2="Clinical Consultant - Old Contract (GP)"),$B88&lt;&gt;""),$C88*Thresholds_Rates!$F$18,IF(AND(OR($B$2="APM Level 7",$B$2="R&amp;T Level 7"),I88&lt;&gt;""),$C88*Thresholds_Rates!$F$18,IF(SUMIF(Grades!$A:$A,$B$2,Grades!$BQ:$BQ)=1,$C88*Thresholds_Rates!$F$18,""))))))))</f>
        <v/>
      </c>
      <c r="L88" s="68"/>
      <c r="M88" s="81" t="str">
        <f t="shared" ca="1" si="6"/>
        <v/>
      </c>
      <c r="N88" s="81" t="str">
        <f t="shared" ca="1" si="7"/>
        <v/>
      </c>
      <c r="O88" s="81" t="str">
        <f t="shared" ca="1" si="8"/>
        <v/>
      </c>
      <c r="P88" s="81" t="str">
        <f t="shared" ca="1" si="9"/>
        <v/>
      </c>
      <c r="Q88" s="81" t="str">
        <f t="shared" ca="1" si="10"/>
        <v/>
      </c>
      <c r="R88" s="39"/>
      <c r="S88" s="83" t="str">
        <f ca="1">IF(B88="","",IF($B$2="R&amp;T Level 5 - Clinical Lecturers (Vet School)",SUMIF('Points Lookup'!$V:$V,$B88,'Points Lookup'!$W:$W),IF($B$2="R&amp;T Level 6 - Clinical Associate Professors and Clinical Readers (Vet School)",SUMIF('Points Lookup'!$AC:$AC,$B88,'Points Lookup'!$AD:$AD),"")))</f>
        <v/>
      </c>
      <c r="T88" s="84" t="str">
        <f ca="1">IF(B88="","",IF($B$2="R&amp;T Level 5 - Clinical Lecturers (Vet School)",$C88-SUMIF('Points Lookup'!$V:$V,$B88,'Points Lookup'!$X:$X),IF($B$2="R&amp;T Level 6 - Clinical Associate Professors and Clinical Readers (Vet School)",$C88-SUMIF('Points Lookup'!$AC:$AC,$B88,'Points Lookup'!$AE:$AE),"")))</f>
        <v/>
      </c>
      <c r="U88" s="83" t="str">
        <f ca="1">IF(B88="","",IF($B$2="R&amp;T Level 5 - Clinical Lecturers (Vet School)",SUMIF('Points Lookup'!$V:$V,$B88,'Points Lookup'!$Z:$Z),IF($B$2="R&amp;T Level 6 - Clinical Associate Professors and Clinical Readers (Vet School)",SUMIF('Points Lookup'!$AC:$AC,$B88,'Points Lookup'!$AG:$AG),"")))</f>
        <v/>
      </c>
      <c r="V88" s="84" t="str">
        <f t="shared" ca="1" si="11"/>
        <v/>
      </c>
      <c r="Z88" s="39"/>
      <c r="AA88" s="39"/>
      <c r="AB88" s="39"/>
      <c r="AC88" s="39"/>
      <c r="AD88" s="39"/>
      <c r="AE88" s="39"/>
      <c r="AF88" s="39"/>
      <c r="AO88" s="39"/>
      <c r="AP88" s="39"/>
      <c r="AQ88" s="39"/>
      <c r="AR88" s="39"/>
      <c r="AS88" s="39"/>
      <c r="AT88" s="39"/>
      <c r="AU88" s="39"/>
      <c r="AV88" s="39"/>
      <c r="AW88" s="39"/>
      <c r="AX88" s="39"/>
      <c r="AY88" s="39"/>
      <c r="AZ88" s="39"/>
      <c r="BA88" s="39"/>
      <c r="BB88" s="39"/>
      <c r="BC88" s="39"/>
    </row>
    <row r="89" spans="2:55" s="69" customFormat="1" x14ac:dyDescent="0.25">
      <c r="B89" s="68" t="str">
        <f ca="1">IFERROR(INDEX('Points Lookup'!$A:$A,MATCH($AA91,'Points Lookup'!$AN:$AN,0)),"")</f>
        <v/>
      </c>
      <c r="C89" s="81" t="str">
        <f ca="1">IF(B89="","",SUMIF(INDIRECT("'Points Lookup'!"&amp;VLOOKUP($B$2,Grades!A:BU,72,FALSE)&amp;":"&amp;VLOOKUP($B$2,Grades!A:BU,72,FALSE)),B89,INDIRECT("'Points Lookup'!"&amp;VLOOKUP($B$2,Grades!A:BU,73,FALSE)&amp;":"&amp;VLOOKUP($B$2,Grades!A:BU,73,FALSE))))</f>
        <v/>
      </c>
      <c r="D89" s="81"/>
      <c r="E89" s="81"/>
      <c r="F89" s="81" t="str">
        <f ca="1">IF($B89="","",IF(SUMIF(Grades!$A:$A,$B$2,Grades!$BO:$BO)=0,"-",IF(AND(VLOOKUP($B$2,Grades!$A:$BV,74,FALSE)="YES",B89&lt;Thresholds_Rates!$C$16),"-",$C89*Thresholds_Rates!$F$15)))</f>
        <v/>
      </c>
      <c r="G89" s="81" t="str">
        <f ca="1">IF(B89="","",IF($B$2="Salary Points 1 to 57","-",IF(SUMIF(Grades!$A:$A,$B$2,Grades!$BP:$BP)=0,"-",IF(AND(OR($B$2="New Consultant Contract"),$B89&lt;&gt;""),$C89*Thresholds_Rates!$F$16,IF(AND(OR($B$2="Clinical Lecturer / Medical Research Fellow",$B$2="Clinical Consultant - Old Contract (GP)"),$B89&lt;&gt;""),$C89*Thresholds_Rates!$F$16,IF(AND(OR($B$2="APM Level 7",$B$2="R&amp;T Level 7"),F89&lt;&gt;""),$C89*Thresholds_Rates!$F$16,IF(SUMIF(Grades!$A:$A,$B$2,Grades!$BP:$BP)=1,$C89*Thresholds_Rates!$F$16,"")))))))</f>
        <v/>
      </c>
      <c r="H89" s="81" t="str">
        <f ca="1">IF(B89="","",IF(SUMIF(Grades!$A:$A,$B$2,Grades!$BQ:$BQ)=0,"-",IF(AND($B$2="Salary Points 1 to 57",B89&gt;Thresholds_Rates!$C$17),"-",IF(AND($B$2="Salary Points 1 to 57",B89&lt;=Thresholds_Rates!$C$17),$C89*Thresholds_Rates!$F$17,IF(AND(OR($B$2="New Consultant Contract"),$B89&lt;&gt;""),$C89*Thresholds_Rates!$F$17,IF(AND(OR($B$2="Clinical Lecturer / Medical Research Fellow",$B$2="Clinical Consultant - Old Contract (GP)"),$B89&lt;&gt;""),$C89*Thresholds_Rates!$F$17,IF(AND(OR($B$2="APM Level 7",$B$2="R&amp;T Level 7"),G89&lt;&gt;""),$C89*Thresholds_Rates!$F$17,IF(SUMIF(Grades!$A:$A,$B$2,Grades!$BQ:$BQ)=1,$C89*Thresholds_Rates!$F$17,""))))))))</f>
        <v/>
      </c>
      <c r="I89" s="81" t="str">
        <f ca="1">IF($B89="","",IF($C89=0,0,ROUND(($C89-(Thresholds_Rates!$C$5*12))*Thresholds_Rates!$C$10,0)))</f>
        <v/>
      </c>
      <c r="J89" s="81" t="str">
        <f ca="1">IF(B89="","",(C89*Thresholds_Rates!$C$12))</f>
        <v/>
      </c>
      <c r="K89" s="81" t="str">
        <f ca="1">IF(B89="","",IF(AND($B$2="Salary Points 1 to 57",B89&gt;Thresholds_Rates!$C$17),"-",IF(SUMIF(Grades!$A:$A,$B$2,Grades!$BR:$BR)=0,"-",IF(AND($B$2="Salary Points 1 to 57",B89&lt;=Thresholds_Rates!$C$17),$C89*Thresholds_Rates!$F$18,IF(AND(OR($B$2="New Consultant Contract"),$B89&lt;&gt;""),$C89*Thresholds_Rates!$F$18,IF(AND(OR($B$2="Clinical Lecturer / Medical Research Fellow",$B$2="Clinical Consultant - Old Contract (GP)"),$B89&lt;&gt;""),$C89*Thresholds_Rates!$F$18,IF(AND(OR($B$2="APM Level 7",$B$2="R&amp;T Level 7"),I89&lt;&gt;""),$C89*Thresholds_Rates!$F$18,IF(SUMIF(Grades!$A:$A,$B$2,Grades!$BQ:$BQ)=1,$C89*Thresholds_Rates!$F$18,""))))))))</f>
        <v/>
      </c>
      <c r="L89" s="68"/>
      <c r="M89" s="81" t="str">
        <f t="shared" ca="1" si="6"/>
        <v/>
      </c>
      <c r="N89" s="81" t="str">
        <f t="shared" ca="1" si="7"/>
        <v/>
      </c>
      <c r="O89" s="81" t="str">
        <f t="shared" ca="1" si="8"/>
        <v/>
      </c>
      <c r="P89" s="81" t="str">
        <f t="shared" ca="1" si="9"/>
        <v/>
      </c>
      <c r="Q89" s="81" t="str">
        <f t="shared" ca="1" si="10"/>
        <v/>
      </c>
      <c r="R89" s="39"/>
      <c r="S89" s="83" t="str">
        <f ca="1">IF(B89="","",IF($B$2="R&amp;T Level 5 - Clinical Lecturers (Vet School)",SUMIF('Points Lookup'!$V:$V,$B89,'Points Lookup'!$W:$W),IF($B$2="R&amp;T Level 6 - Clinical Associate Professors and Clinical Readers (Vet School)",SUMIF('Points Lookup'!$AC:$AC,$B89,'Points Lookup'!$AD:$AD),"")))</f>
        <v/>
      </c>
      <c r="T89" s="84" t="str">
        <f ca="1">IF(B89="","",IF($B$2="R&amp;T Level 5 - Clinical Lecturers (Vet School)",$C89-SUMIF('Points Lookup'!$V:$V,$B89,'Points Lookup'!$X:$X),IF($B$2="R&amp;T Level 6 - Clinical Associate Professors and Clinical Readers (Vet School)",$C89-SUMIF('Points Lookup'!$AC:$AC,$B89,'Points Lookup'!$AE:$AE),"")))</f>
        <v/>
      </c>
      <c r="U89" s="83" t="str">
        <f ca="1">IF(B89="","",IF($B$2="R&amp;T Level 5 - Clinical Lecturers (Vet School)",SUMIF('Points Lookup'!$V:$V,$B89,'Points Lookup'!$Z:$Z),IF($B$2="R&amp;T Level 6 - Clinical Associate Professors and Clinical Readers (Vet School)",SUMIF('Points Lookup'!$AC:$AC,$B89,'Points Lookup'!$AG:$AG),"")))</f>
        <v/>
      </c>
      <c r="V89" s="84" t="str">
        <f t="shared" ca="1" si="11"/>
        <v/>
      </c>
      <c r="Z89" s="39"/>
      <c r="AA89" s="39"/>
      <c r="AB89" s="39"/>
      <c r="AC89" s="39"/>
      <c r="AD89" s="39"/>
      <c r="AE89" s="39"/>
      <c r="AF89" s="39"/>
      <c r="AO89" s="39"/>
      <c r="AP89" s="39"/>
      <c r="AQ89" s="39"/>
      <c r="AR89" s="39"/>
      <c r="AS89" s="39"/>
      <c r="AT89" s="39"/>
      <c r="AU89" s="39"/>
      <c r="AV89" s="39"/>
      <c r="AW89" s="39"/>
      <c r="AX89" s="39"/>
      <c r="AY89" s="39"/>
      <c r="AZ89" s="39"/>
      <c r="BA89" s="39"/>
      <c r="BB89" s="39"/>
      <c r="BC89" s="39"/>
    </row>
    <row r="90" spans="2:55" s="69" customFormat="1" x14ac:dyDescent="0.25">
      <c r="B90" s="68" t="str">
        <f ca="1">IFERROR(INDEX('Points Lookup'!$A:$A,MATCH($AA92,'Points Lookup'!$AN:$AN,0)),"")</f>
        <v/>
      </c>
      <c r="C90" s="81" t="str">
        <f ca="1">IF(B90="","",SUMIF(INDIRECT("'Points Lookup'!"&amp;VLOOKUP($B$2,Grades!A:BU,72,FALSE)&amp;":"&amp;VLOOKUP($B$2,Grades!A:BU,72,FALSE)),B90,INDIRECT("'Points Lookup'!"&amp;VLOOKUP($B$2,Grades!A:BU,73,FALSE)&amp;":"&amp;VLOOKUP($B$2,Grades!A:BU,73,FALSE))))</f>
        <v/>
      </c>
      <c r="D90" s="81"/>
      <c r="E90" s="81"/>
      <c r="F90" s="81" t="str">
        <f ca="1">IF($B90="","",IF(SUMIF(Grades!$A:$A,$B$2,Grades!$BO:$BO)=0,"-",IF(AND(VLOOKUP($B$2,Grades!$A:$BV,74,FALSE)="YES",B90&lt;Thresholds_Rates!$C$16),"-",$C90*Thresholds_Rates!$F$15)))</f>
        <v/>
      </c>
      <c r="G90" s="81" t="str">
        <f ca="1">IF(B90="","",IF($B$2="Salary Points 1 to 57","-",IF(SUMIF(Grades!$A:$A,$B$2,Grades!$BP:$BP)=0,"-",IF(AND(OR($B$2="New Consultant Contract"),$B90&lt;&gt;""),$C90*Thresholds_Rates!$F$16,IF(AND(OR($B$2="Clinical Lecturer / Medical Research Fellow",$B$2="Clinical Consultant - Old Contract (GP)"),$B90&lt;&gt;""),$C90*Thresholds_Rates!$F$16,IF(AND(OR($B$2="APM Level 7",$B$2="R&amp;T Level 7"),F90&lt;&gt;""),$C90*Thresholds_Rates!$F$16,IF(SUMIF(Grades!$A:$A,$B$2,Grades!$BP:$BP)=1,$C90*Thresholds_Rates!$F$16,"")))))))</f>
        <v/>
      </c>
      <c r="H90" s="81" t="str">
        <f ca="1">IF(B90="","",IF(SUMIF(Grades!$A:$A,$B$2,Grades!$BQ:$BQ)=0,"-",IF(AND($B$2="Salary Points 1 to 57",B90&gt;Thresholds_Rates!$C$17),"-",IF(AND($B$2="Salary Points 1 to 57",B90&lt;=Thresholds_Rates!$C$17),$C90*Thresholds_Rates!$F$17,IF(AND(OR($B$2="New Consultant Contract"),$B90&lt;&gt;""),$C90*Thresholds_Rates!$F$17,IF(AND(OR($B$2="Clinical Lecturer / Medical Research Fellow",$B$2="Clinical Consultant - Old Contract (GP)"),$B90&lt;&gt;""),$C90*Thresholds_Rates!$F$17,IF(AND(OR($B$2="APM Level 7",$B$2="R&amp;T Level 7"),G90&lt;&gt;""),$C90*Thresholds_Rates!$F$17,IF(SUMIF(Grades!$A:$A,$B$2,Grades!$BQ:$BQ)=1,$C90*Thresholds_Rates!$F$17,""))))))))</f>
        <v/>
      </c>
      <c r="I90" s="81" t="str">
        <f ca="1">IF($B90="","",IF($C90=0,0,ROUND(($C90-(Thresholds_Rates!$C$5*12))*Thresholds_Rates!$C$10,0)))</f>
        <v/>
      </c>
      <c r="J90" s="81" t="str">
        <f ca="1">IF(B90="","",(C90*Thresholds_Rates!$C$12))</f>
        <v/>
      </c>
      <c r="K90" s="81" t="str">
        <f ca="1">IF(B90="","",IF(AND($B$2="Salary Points 1 to 57",B90&gt;Thresholds_Rates!$C$17),"-",IF(SUMIF(Grades!$A:$A,$B$2,Grades!$BR:$BR)=0,"-",IF(AND($B$2="Salary Points 1 to 57",B90&lt;=Thresholds_Rates!$C$17),$C90*Thresholds_Rates!$F$18,IF(AND(OR($B$2="New Consultant Contract"),$B90&lt;&gt;""),$C90*Thresholds_Rates!$F$18,IF(AND(OR($B$2="Clinical Lecturer / Medical Research Fellow",$B$2="Clinical Consultant - Old Contract (GP)"),$B90&lt;&gt;""),$C90*Thresholds_Rates!$F$18,IF(AND(OR($B$2="APM Level 7",$B$2="R&amp;T Level 7"),I90&lt;&gt;""),$C90*Thresholds_Rates!$F$18,IF(SUMIF(Grades!$A:$A,$B$2,Grades!$BQ:$BQ)=1,$C90*Thresholds_Rates!$F$18,""))))))))</f>
        <v/>
      </c>
      <c r="L90" s="68"/>
      <c r="M90" s="81" t="str">
        <f t="shared" ca="1" si="6"/>
        <v/>
      </c>
      <c r="N90" s="81" t="str">
        <f t="shared" ca="1" si="7"/>
        <v/>
      </c>
      <c r="O90" s="81" t="str">
        <f t="shared" ca="1" si="8"/>
        <v/>
      </c>
      <c r="P90" s="81" t="str">
        <f t="shared" ca="1" si="9"/>
        <v/>
      </c>
      <c r="Q90" s="81" t="str">
        <f t="shared" ca="1" si="10"/>
        <v/>
      </c>
      <c r="R90" s="39"/>
      <c r="S90" s="83" t="str">
        <f ca="1">IF(B90="","",IF($B$2="R&amp;T Level 5 - Clinical Lecturers (Vet School)",SUMIF('Points Lookup'!$V:$V,$B90,'Points Lookup'!$W:$W),IF($B$2="R&amp;T Level 6 - Clinical Associate Professors and Clinical Readers (Vet School)",SUMIF('Points Lookup'!$AC:$AC,$B90,'Points Lookup'!$AD:$AD),"")))</f>
        <v/>
      </c>
      <c r="T90" s="84" t="str">
        <f ca="1">IF(B90="","",IF($B$2="R&amp;T Level 5 - Clinical Lecturers (Vet School)",$C90-SUMIF('Points Lookup'!$V:$V,$B90,'Points Lookup'!$X:$X),IF($B$2="R&amp;T Level 6 - Clinical Associate Professors and Clinical Readers (Vet School)",$C90-SUMIF('Points Lookup'!$AC:$AC,$B90,'Points Lookup'!$AE:$AE),"")))</f>
        <v/>
      </c>
      <c r="U90" s="83" t="str">
        <f ca="1">IF(B90="","",IF($B$2="R&amp;T Level 5 - Clinical Lecturers (Vet School)",SUMIF('Points Lookup'!$V:$V,$B90,'Points Lookup'!$Z:$Z),IF($B$2="R&amp;T Level 6 - Clinical Associate Professors and Clinical Readers (Vet School)",SUMIF('Points Lookup'!$AC:$AC,$B90,'Points Lookup'!$AG:$AG),"")))</f>
        <v/>
      </c>
      <c r="V90" s="84" t="str">
        <f t="shared" ca="1" si="11"/>
        <v/>
      </c>
      <c r="Z90" s="39"/>
      <c r="AA90" s="39"/>
      <c r="AB90" s="39"/>
      <c r="AC90" s="39"/>
      <c r="AD90" s="39"/>
      <c r="AE90" s="39"/>
      <c r="AF90" s="39"/>
      <c r="AO90" s="39"/>
      <c r="AP90" s="39"/>
      <c r="AQ90" s="39"/>
      <c r="AR90" s="39"/>
      <c r="AS90" s="39"/>
      <c r="AT90" s="39"/>
      <c r="AU90" s="39"/>
      <c r="AV90" s="39"/>
      <c r="AW90" s="39"/>
      <c r="AX90" s="39"/>
      <c r="AY90" s="39"/>
      <c r="AZ90" s="39"/>
      <c r="BA90" s="39"/>
      <c r="BB90" s="39"/>
      <c r="BC90" s="39"/>
    </row>
    <row r="91" spans="2:55" s="69" customFormat="1" x14ac:dyDescent="0.25">
      <c r="B91" s="68" t="str">
        <f ca="1">IFERROR(INDEX('Points Lookup'!$A:$A,MATCH($AA93,'Points Lookup'!$AN:$AN,0)),"")</f>
        <v/>
      </c>
      <c r="C91" s="81" t="str">
        <f ca="1">IF(B91="","",SUMIF(INDIRECT("'Points Lookup'!"&amp;VLOOKUP($B$2,Grades!A:BU,72,FALSE)&amp;":"&amp;VLOOKUP($B$2,Grades!A:BU,72,FALSE)),B91,INDIRECT("'Points Lookup'!"&amp;VLOOKUP($B$2,Grades!A:BU,73,FALSE)&amp;":"&amp;VLOOKUP($B$2,Grades!A:BU,73,FALSE))))</f>
        <v/>
      </c>
      <c r="D91" s="81"/>
      <c r="E91" s="81"/>
      <c r="F91" s="81" t="str">
        <f ca="1">IF($B91="","",IF(SUMIF(Grades!$A:$A,$B$2,Grades!$BO:$BO)=0,"-",IF(AND(VLOOKUP($B$2,Grades!$A:$BV,74,FALSE)="YES",B91&lt;Thresholds_Rates!$C$16),"-",$C91*Thresholds_Rates!$F$15)))</f>
        <v/>
      </c>
      <c r="G91" s="81" t="str">
        <f ca="1">IF(B91="","",IF($B$2="Salary Points 1 to 57","-",IF(SUMIF(Grades!$A:$A,$B$2,Grades!$BP:$BP)=0,"-",IF(AND(OR($B$2="New Consultant Contract"),$B91&lt;&gt;""),$C91*Thresholds_Rates!$F$16,IF(AND(OR($B$2="Clinical Lecturer / Medical Research Fellow",$B$2="Clinical Consultant - Old Contract (GP)"),$B91&lt;&gt;""),$C91*Thresholds_Rates!$F$16,IF(AND(OR($B$2="APM Level 7",$B$2="R&amp;T Level 7"),F91&lt;&gt;""),$C91*Thresholds_Rates!$F$16,IF(SUMIF(Grades!$A:$A,$B$2,Grades!$BP:$BP)=1,$C91*Thresholds_Rates!$F$16,"")))))))</f>
        <v/>
      </c>
      <c r="H91" s="81" t="str">
        <f ca="1">IF(B91="","",IF(SUMIF(Grades!$A:$A,$B$2,Grades!$BQ:$BQ)=0,"-",IF(AND($B$2="Salary Points 1 to 57",B91&gt;Thresholds_Rates!$C$17),"-",IF(AND($B$2="Salary Points 1 to 57",B91&lt;=Thresholds_Rates!$C$17),$C91*Thresholds_Rates!$F$17,IF(AND(OR($B$2="New Consultant Contract"),$B91&lt;&gt;""),$C91*Thresholds_Rates!$F$17,IF(AND(OR($B$2="Clinical Lecturer / Medical Research Fellow",$B$2="Clinical Consultant - Old Contract (GP)"),$B91&lt;&gt;""),$C91*Thresholds_Rates!$F$17,IF(AND(OR($B$2="APM Level 7",$B$2="R&amp;T Level 7"),G91&lt;&gt;""),$C91*Thresholds_Rates!$F$17,IF(SUMIF(Grades!$A:$A,$B$2,Grades!$BQ:$BQ)=1,$C91*Thresholds_Rates!$F$17,""))))))))</f>
        <v/>
      </c>
      <c r="I91" s="81" t="str">
        <f ca="1">IF($B91="","",IF($C91=0,0,ROUND(($C91-(Thresholds_Rates!$C$5*12))*Thresholds_Rates!$C$10,0)))</f>
        <v/>
      </c>
      <c r="J91" s="81" t="str">
        <f ca="1">IF(B91="","",(C91*Thresholds_Rates!$C$12))</f>
        <v/>
      </c>
      <c r="K91" s="81" t="str">
        <f ca="1">IF(B91="","",IF(AND($B$2="Salary Points 1 to 57",B91&gt;Thresholds_Rates!$C$17),"-",IF(SUMIF(Grades!$A:$A,$B$2,Grades!$BR:$BR)=0,"-",IF(AND($B$2="Salary Points 1 to 57",B91&lt;=Thresholds_Rates!$C$17),$C91*Thresholds_Rates!$F$18,IF(AND(OR($B$2="New Consultant Contract"),$B91&lt;&gt;""),$C91*Thresholds_Rates!$F$18,IF(AND(OR($B$2="Clinical Lecturer / Medical Research Fellow",$B$2="Clinical Consultant - Old Contract (GP)"),$B91&lt;&gt;""),$C91*Thresholds_Rates!$F$18,IF(AND(OR($B$2="APM Level 7",$B$2="R&amp;T Level 7"),I91&lt;&gt;""),$C91*Thresholds_Rates!$F$18,IF(SUMIF(Grades!$A:$A,$B$2,Grades!$BQ:$BQ)=1,$C91*Thresholds_Rates!$F$18,""))))))))</f>
        <v/>
      </c>
      <c r="L91" s="68"/>
      <c r="M91" s="81" t="str">
        <f t="shared" ca="1" si="6"/>
        <v/>
      </c>
      <c r="N91" s="81" t="str">
        <f t="shared" ca="1" si="7"/>
        <v/>
      </c>
      <c r="O91" s="81" t="str">
        <f t="shared" ca="1" si="8"/>
        <v/>
      </c>
      <c r="P91" s="81" t="str">
        <f t="shared" ca="1" si="9"/>
        <v/>
      </c>
      <c r="Q91" s="81" t="str">
        <f t="shared" ca="1" si="10"/>
        <v/>
      </c>
      <c r="R91" s="39"/>
      <c r="S91" s="83" t="str">
        <f ca="1">IF(B91="","",IF($B$2="R&amp;T Level 5 - Clinical Lecturers (Vet School)",SUMIF('Points Lookup'!$V:$V,$B91,'Points Lookup'!$W:$W),IF($B$2="R&amp;T Level 6 - Clinical Associate Professors and Clinical Readers (Vet School)",SUMIF('Points Lookup'!$AC:$AC,$B91,'Points Lookup'!$AD:$AD),"")))</f>
        <v/>
      </c>
      <c r="T91" s="84" t="str">
        <f ca="1">IF(B91="","",IF($B$2="R&amp;T Level 5 - Clinical Lecturers (Vet School)",$C91-SUMIF('Points Lookup'!$V:$V,$B91,'Points Lookup'!$X:$X),IF($B$2="R&amp;T Level 6 - Clinical Associate Professors and Clinical Readers (Vet School)",$C91-SUMIF('Points Lookup'!$AC:$AC,$B91,'Points Lookup'!$AE:$AE),"")))</f>
        <v/>
      </c>
      <c r="U91" s="83" t="str">
        <f ca="1">IF(B91="","",IF($B$2="R&amp;T Level 5 - Clinical Lecturers (Vet School)",SUMIF('Points Lookup'!$V:$V,$B91,'Points Lookup'!$Z:$Z),IF($B$2="R&amp;T Level 6 - Clinical Associate Professors and Clinical Readers (Vet School)",SUMIF('Points Lookup'!$AC:$AC,$B91,'Points Lookup'!$AG:$AG),"")))</f>
        <v/>
      </c>
      <c r="V91" s="84" t="str">
        <f t="shared" ca="1" si="11"/>
        <v/>
      </c>
      <c r="Z91" s="39"/>
      <c r="AA91" s="39"/>
      <c r="AB91" s="39"/>
      <c r="AC91" s="39"/>
      <c r="AD91" s="39"/>
      <c r="AE91" s="39"/>
      <c r="AF91" s="39"/>
      <c r="AO91" s="39"/>
      <c r="AP91" s="39"/>
      <c r="AQ91" s="39"/>
      <c r="AR91" s="39"/>
      <c r="AS91" s="39"/>
      <c r="AT91" s="39"/>
      <c r="AU91" s="39"/>
      <c r="AV91" s="39"/>
      <c r="AW91" s="39"/>
      <c r="AX91" s="39"/>
      <c r="AY91" s="39"/>
      <c r="AZ91" s="39"/>
      <c r="BA91" s="39"/>
      <c r="BB91" s="39"/>
      <c r="BC91" s="39"/>
    </row>
    <row r="92" spans="2:55" s="69" customFormat="1" x14ac:dyDescent="0.25">
      <c r="B92" s="68" t="str">
        <f ca="1">IFERROR(INDEX('Points Lookup'!$A:$A,MATCH($AA94,'Points Lookup'!$AN:$AN,0)),"")</f>
        <v/>
      </c>
      <c r="C92" s="81" t="str">
        <f ca="1">IF(B92="","",SUMIF(INDIRECT("'Points Lookup'!"&amp;VLOOKUP($B$2,Grades!A:BU,72,FALSE)&amp;":"&amp;VLOOKUP($B$2,Grades!A:BU,72,FALSE)),B92,INDIRECT("'Points Lookup'!"&amp;VLOOKUP($B$2,Grades!A:BU,73,FALSE)&amp;":"&amp;VLOOKUP($B$2,Grades!A:BU,73,FALSE))))</f>
        <v/>
      </c>
      <c r="D92" s="81"/>
      <c r="E92" s="81"/>
      <c r="F92" s="81" t="str">
        <f ca="1">IF($B92="","",IF(SUMIF(Grades!$A:$A,$B$2,Grades!$BO:$BO)=0,"-",IF(AND(VLOOKUP($B$2,Grades!$A:$BV,74,FALSE)="YES",B92&lt;Thresholds_Rates!$C$16),"-",$C92*Thresholds_Rates!$F$15)))</f>
        <v/>
      </c>
      <c r="G92" s="81" t="str">
        <f ca="1">IF(B92="","",IF($B$2="Salary Points 1 to 57","-",IF(SUMIF(Grades!$A:$A,$B$2,Grades!$BP:$BP)=0,"-",IF(AND(OR($B$2="New Consultant Contract"),$B92&lt;&gt;""),$C92*Thresholds_Rates!$F$16,IF(AND(OR($B$2="Clinical Lecturer / Medical Research Fellow",$B$2="Clinical Consultant - Old Contract (GP)"),$B92&lt;&gt;""),$C92*Thresholds_Rates!$F$16,IF(AND(OR($B$2="APM Level 7",$B$2="R&amp;T Level 7"),F92&lt;&gt;""),$C92*Thresholds_Rates!$F$16,IF(SUMIF(Grades!$A:$A,$B$2,Grades!$BP:$BP)=1,$C92*Thresholds_Rates!$F$16,"")))))))</f>
        <v/>
      </c>
      <c r="H92" s="81" t="str">
        <f ca="1">IF(B92="","",IF(SUMIF(Grades!$A:$A,$B$2,Grades!$BQ:$BQ)=0,"-",IF(AND($B$2="Salary Points 1 to 57",B92&gt;Thresholds_Rates!$C$17),"-",IF(AND($B$2="Salary Points 1 to 57",B92&lt;=Thresholds_Rates!$C$17),$C92*Thresholds_Rates!$F$17,IF(AND(OR($B$2="New Consultant Contract"),$B92&lt;&gt;""),$C92*Thresholds_Rates!$F$17,IF(AND(OR($B$2="Clinical Lecturer / Medical Research Fellow",$B$2="Clinical Consultant - Old Contract (GP)"),$B92&lt;&gt;""),$C92*Thresholds_Rates!$F$17,IF(AND(OR($B$2="APM Level 7",$B$2="R&amp;T Level 7"),G92&lt;&gt;""),$C92*Thresholds_Rates!$F$17,IF(SUMIF(Grades!$A:$A,$B$2,Grades!$BQ:$BQ)=1,$C92*Thresholds_Rates!$F$17,""))))))))</f>
        <v/>
      </c>
      <c r="I92" s="81" t="str">
        <f ca="1">IF($B92="","",IF($C92=0,0,ROUND(($C92-(Thresholds_Rates!$C$5*12))*Thresholds_Rates!$C$10,0)))</f>
        <v/>
      </c>
      <c r="J92" s="81" t="str">
        <f ca="1">IF(B92="","",(C92*Thresholds_Rates!$C$12))</f>
        <v/>
      </c>
      <c r="K92" s="81" t="str">
        <f ca="1">IF(B92="","",IF(AND($B$2="Salary Points 1 to 57",B92&gt;Thresholds_Rates!$C$17),"-",IF(SUMIF(Grades!$A:$A,$B$2,Grades!$BR:$BR)=0,"-",IF(AND($B$2="Salary Points 1 to 57",B92&lt;=Thresholds_Rates!$C$17),$C92*Thresholds_Rates!$F$18,IF(AND(OR($B$2="New Consultant Contract"),$B92&lt;&gt;""),$C92*Thresholds_Rates!$F$18,IF(AND(OR($B$2="Clinical Lecturer / Medical Research Fellow",$B$2="Clinical Consultant - Old Contract (GP)"),$B92&lt;&gt;""),$C92*Thresholds_Rates!$F$18,IF(AND(OR($B$2="APM Level 7",$B$2="R&amp;T Level 7"),I92&lt;&gt;""),$C92*Thresholds_Rates!$F$18,IF(SUMIF(Grades!$A:$A,$B$2,Grades!$BQ:$BQ)=1,$C92*Thresholds_Rates!$F$18,""))))))))</f>
        <v/>
      </c>
      <c r="L92" s="68"/>
      <c r="M92" s="81" t="str">
        <f t="shared" ca="1" si="6"/>
        <v/>
      </c>
      <c r="N92" s="81" t="str">
        <f t="shared" ca="1" si="7"/>
        <v/>
      </c>
      <c r="O92" s="81" t="str">
        <f t="shared" ca="1" si="8"/>
        <v/>
      </c>
      <c r="P92" s="81" t="str">
        <f t="shared" ca="1" si="9"/>
        <v/>
      </c>
      <c r="Q92" s="81" t="str">
        <f t="shared" ca="1" si="10"/>
        <v/>
      </c>
      <c r="R92" s="39"/>
      <c r="S92" s="83" t="str">
        <f ca="1">IF(B92="","",IF($B$2="R&amp;T Level 5 - Clinical Lecturers (Vet School)",SUMIF('Points Lookup'!$V:$V,$B92,'Points Lookup'!$W:$W),IF($B$2="R&amp;T Level 6 - Clinical Associate Professors and Clinical Readers (Vet School)",SUMIF('Points Lookup'!$AC:$AC,$B92,'Points Lookup'!$AD:$AD),"")))</f>
        <v/>
      </c>
      <c r="T92" s="84" t="str">
        <f ca="1">IF(B92="","",IF($B$2="R&amp;T Level 5 - Clinical Lecturers (Vet School)",$C92-SUMIF('Points Lookup'!$V:$V,$B92,'Points Lookup'!$X:$X),IF($B$2="R&amp;T Level 6 - Clinical Associate Professors and Clinical Readers (Vet School)",$C92-SUMIF('Points Lookup'!$AC:$AC,$B92,'Points Lookup'!$AE:$AE),"")))</f>
        <v/>
      </c>
      <c r="U92" s="83" t="str">
        <f ca="1">IF(B92="","",IF($B$2="R&amp;T Level 5 - Clinical Lecturers (Vet School)",SUMIF('Points Lookup'!$V:$V,$B92,'Points Lookup'!$Z:$Z),IF($B$2="R&amp;T Level 6 - Clinical Associate Professors and Clinical Readers (Vet School)",SUMIF('Points Lookup'!$AC:$AC,$B92,'Points Lookup'!$AG:$AG),"")))</f>
        <v/>
      </c>
      <c r="V92" s="84" t="str">
        <f t="shared" ca="1" si="11"/>
        <v/>
      </c>
      <c r="Z92" s="39"/>
      <c r="AA92" s="39"/>
      <c r="AB92" s="39"/>
      <c r="AC92" s="39"/>
      <c r="AD92" s="39"/>
      <c r="AE92" s="39"/>
      <c r="AF92" s="39"/>
      <c r="AO92" s="39"/>
      <c r="AP92" s="39"/>
      <c r="AQ92" s="39"/>
      <c r="AR92" s="39"/>
      <c r="AS92" s="39"/>
      <c r="AT92" s="39"/>
      <c r="AU92" s="39"/>
      <c r="AV92" s="39"/>
      <c r="AW92" s="39"/>
      <c r="AX92" s="39"/>
      <c r="AY92" s="39"/>
      <c r="AZ92" s="39"/>
      <c r="BA92" s="39"/>
      <c r="BB92" s="39"/>
      <c r="BC92" s="39"/>
    </row>
    <row r="93" spans="2:55" s="69" customFormat="1" x14ac:dyDescent="0.25">
      <c r="B93" s="68" t="str">
        <f ca="1">IFERROR(INDEX('Points Lookup'!$A:$A,MATCH($AA95,'Points Lookup'!$AN:$AN,0)),"")</f>
        <v/>
      </c>
      <c r="C93" s="81" t="str">
        <f ca="1">IF(B93="","",SUMIF(INDIRECT("'Points Lookup'!"&amp;VLOOKUP($B$2,Grades!A:BU,72,FALSE)&amp;":"&amp;VLOOKUP($B$2,Grades!A:BU,72,FALSE)),B93,INDIRECT("'Points Lookup'!"&amp;VLOOKUP($B$2,Grades!A:BU,73,FALSE)&amp;":"&amp;VLOOKUP($B$2,Grades!A:BU,73,FALSE))))</f>
        <v/>
      </c>
      <c r="D93" s="81"/>
      <c r="E93" s="81"/>
      <c r="F93" s="81" t="str">
        <f ca="1">IF($B93="","",IF(SUMIF(Grades!$A:$A,$B$2,Grades!$BO:$BO)=0,"-",IF(AND(VLOOKUP($B$2,Grades!$A:$BV,74,FALSE)="YES",B93&lt;Thresholds_Rates!$C$16),"-",$C93*Thresholds_Rates!$F$15)))</f>
        <v/>
      </c>
      <c r="G93" s="81" t="str">
        <f ca="1">IF(B93="","",IF($B$2="Salary Points 1 to 57","-",IF(SUMIF(Grades!$A:$A,$B$2,Grades!$BP:$BP)=0,"-",IF(AND(OR($B$2="New Consultant Contract"),$B93&lt;&gt;""),$C93*Thresholds_Rates!$F$16,IF(AND(OR($B$2="Clinical Lecturer / Medical Research Fellow",$B$2="Clinical Consultant - Old Contract (GP)"),$B93&lt;&gt;""),$C93*Thresholds_Rates!$F$16,IF(AND(OR($B$2="APM Level 7",$B$2="R&amp;T Level 7"),F93&lt;&gt;""),$C93*Thresholds_Rates!$F$16,IF(SUMIF(Grades!$A:$A,$B$2,Grades!$BP:$BP)=1,$C93*Thresholds_Rates!$F$16,"")))))))</f>
        <v/>
      </c>
      <c r="H93" s="81" t="str">
        <f ca="1">IF(B93="","",IF(SUMIF(Grades!$A:$A,$B$2,Grades!$BQ:$BQ)=0,"-",IF(AND($B$2="Salary Points 1 to 57",B93&gt;Thresholds_Rates!$C$17),"-",IF(AND($B$2="Salary Points 1 to 57",B93&lt;=Thresholds_Rates!$C$17),$C93*Thresholds_Rates!$F$17,IF(AND(OR($B$2="New Consultant Contract"),$B93&lt;&gt;""),$C93*Thresholds_Rates!$F$17,IF(AND(OR($B$2="Clinical Lecturer / Medical Research Fellow",$B$2="Clinical Consultant - Old Contract (GP)"),$B93&lt;&gt;""),$C93*Thresholds_Rates!$F$17,IF(AND(OR($B$2="APM Level 7",$B$2="R&amp;T Level 7"),G93&lt;&gt;""),$C93*Thresholds_Rates!$F$17,IF(SUMIF(Grades!$A:$A,$B$2,Grades!$BQ:$BQ)=1,$C93*Thresholds_Rates!$F$17,""))))))))</f>
        <v/>
      </c>
      <c r="I93" s="81" t="str">
        <f ca="1">IF($B93="","",IF($C93=0,0,ROUND(($C93-(Thresholds_Rates!$C$5*12))*Thresholds_Rates!$C$10,0)))</f>
        <v/>
      </c>
      <c r="J93" s="81" t="str">
        <f ca="1">IF(B93="","",(C93*Thresholds_Rates!$C$12))</f>
        <v/>
      </c>
      <c r="K93" s="81" t="str">
        <f ca="1">IF(B93="","",IF(AND($B$2="Salary Points 1 to 57",B93&gt;Thresholds_Rates!$C$17),"-",IF(SUMIF(Grades!$A:$A,$B$2,Grades!$BR:$BR)=0,"-",IF(AND($B$2="Salary Points 1 to 57",B93&lt;=Thresholds_Rates!$C$17),$C93*Thresholds_Rates!$F$18,IF(AND(OR($B$2="New Consultant Contract"),$B93&lt;&gt;""),$C93*Thresholds_Rates!$F$18,IF(AND(OR($B$2="Clinical Lecturer / Medical Research Fellow",$B$2="Clinical Consultant - Old Contract (GP)"),$B93&lt;&gt;""),$C93*Thresholds_Rates!$F$18,IF(AND(OR($B$2="APM Level 7",$B$2="R&amp;T Level 7"),I93&lt;&gt;""),$C93*Thresholds_Rates!$F$18,IF(SUMIF(Grades!$A:$A,$B$2,Grades!$BQ:$BQ)=1,$C93*Thresholds_Rates!$F$18,""))))))))</f>
        <v/>
      </c>
      <c r="L93" s="68"/>
      <c r="M93" s="81" t="str">
        <f t="shared" ca="1" si="6"/>
        <v/>
      </c>
      <c r="N93" s="81" t="str">
        <f t="shared" ca="1" si="7"/>
        <v/>
      </c>
      <c r="O93" s="81" t="str">
        <f t="shared" ca="1" si="8"/>
        <v/>
      </c>
      <c r="P93" s="81" t="str">
        <f t="shared" ca="1" si="9"/>
        <v/>
      </c>
      <c r="Q93" s="81" t="str">
        <f t="shared" ca="1" si="10"/>
        <v/>
      </c>
      <c r="R93" s="39"/>
      <c r="S93" s="83" t="str">
        <f ca="1">IF(B93="","",IF($B$2="R&amp;T Level 5 - Clinical Lecturers (Vet School)",SUMIF('Points Lookup'!$V:$V,$B93,'Points Lookup'!$W:$W),IF($B$2="R&amp;T Level 6 - Clinical Associate Professors and Clinical Readers (Vet School)",SUMIF('Points Lookup'!$AC:$AC,$B93,'Points Lookup'!$AD:$AD),"")))</f>
        <v/>
      </c>
      <c r="T93" s="84" t="str">
        <f ca="1">IF(B93="","",IF($B$2="R&amp;T Level 5 - Clinical Lecturers (Vet School)",$C93-SUMIF('Points Lookup'!$V:$V,$B93,'Points Lookup'!$X:$X),IF($B$2="R&amp;T Level 6 - Clinical Associate Professors and Clinical Readers (Vet School)",$C93-SUMIF('Points Lookup'!$AC:$AC,$B93,'Points Lookup'!$AE:$AE),"")))</f>
        <v/>
      </c>
      <c r="U93" s="83" t="str">
        <f ca="1">IF(B93="","",IF($B$2="R&amp;T Level 5 - Clinical Lecturers (Vet School)",SUMIF('Points Lookup'!$V:$V,$B93,'Points Lookup'!$Z:$Z),IF($B$2="R&amp;T Level 6 - Clinical Associate Professors and Clinical Readers (Vet School)",SUMIF('Points Lookup'!$AC:$AC,$B93,'Points Lookup'!$AG:$AG),"")))</f>
        <v/>
      </c>
      <c r="V93" s="84" t="str">
        <f t="shared" ca="1" si="11"/>
        <v/>
      </c>
      <c r="Z93" s="39"/>
      <c r="AA93" s="39"/>
      <c r="AB93" s="39"/>
      <c r="AC93" s="39"/>
      <c r="AD93" s="39"/>
      <c r="AE93" s="39"/>
      <c r="AF93" s="39"/>
      <c r="AO93" s="39"/>
      <c r="AP93" s="39"/>
      <c r="AQ93" s="39"/>
      <c r="AR93" s="39"/>
      <c r="AS93" s="39"/>
      <c r="AT93" s="39"/>
      <c r="AU93" s="39"/>
      <c r="AV93" s="39"/>
      <c r="AW93" s="39"/>
      <c r="AX93" s="39"/>
      <c r="AY93" s="39"/>
      <c r="AZ93" s="39"/>
      <c r="BA93" s="39"/>
      <c r="BB93" s="39"/>
      <c r="BC93" s="39"/>
    </row>
    <row r="94" spans="2:55" s="69" customFormat="1" x14ac:dyDescent="0.25">
      <c r="B94" s="68" t="str">
        <f ca="1">IFERROR(INDEX('Points Lookup'!$A:$A,MATCH($AA96,'Points Lookup'!$AN:$AN,0)),"")</f>
        <v/>
      </c>
      <c r="C94" s="81" t="str">
        <f ca="1">IF(B94="","",SUMIF(INDIRECT("'Points Lookup'!"&amp;VLOOKUP($B$2,Grades!A:BU,72,FALSE)&amp;":"&amp;VLOOKUP($B$2,Grades!A:BU,72,FALSE)),B94,INDIRECT("'Points Lookup'!"&amp;VLOOKUP($B$2,Grades!A:BU,73,FALSE)&amp;":"&amp;VLOOKUP($B$2,Grades!A:BU,73,FALSE))))</f>
        <v/>
      </c>
      <c r="D94" s="81"/>
      <c r="E94" s="81"/>
      <c r="F94" s="81" t="str">
        <f ca="1">IF($B94="","",IF(SUMIF(Grades!$A:$A,$B$2,Grades!$BO:$BO)=0,"-",IF(AND(VLOOKUP($B$2,Grades!$A:$BV,74,FALSE)="YES",B94&lt;Thresholds_Rates!$C$16),"-",$C94*Thresholds_Rates!$F$15)))</f>
        <v/>
      </c>
      <c r="G94" s="81" t="str">
        <f ca="1">IF(B94="","",IF($B$2="Salary Points 1 to 57","-",IF(SUMIF(Grades!$A:$A,$B$2,Grades!$BP:$BP)=0,"-",IF(AND(OR($B$2="New Consultant Contract"),$B94&lt;&gt;""),$C94*Thresholds_Rates!$F$16,IF(AND(OR($B$2="Clinical Lecturer / Medical Research Fellow",$B$2="Clinical Consultant - Old Contract (GP)"),$B94&lt;&gt;""),$C94*Thresholds_Rates!$F$16,IF(AND(OR($B$2="APM Level 7",$B$2="R&amp;T Level 7"),F94&lt;&gt;""),$C94*Thresholds_Rates!$F$16,IF(SUMIF(Grades!$A:$A,$B$2,Grades!$BP:$BP)=1,$C94*Thresholds_Rates!$F$16,"")))))))</f>
        <v/>
      </c>
      <c r="H94" s="81" t="str">
        <f ca="1">IF(B94="","",IF(SUMIF(Grades!$A:$A,$B$2,Grades!$BQ:$BQ)=0,"-",IF(AND($B$2="Salary Points 1 to 57",B94&gt;Thresholds_Rates!$C$17),"-",IF(AND($B$2="Salary Points 1 to 57",B94&lt;=Thresholds_Rates!$C$17),$C94*Thresholds_Rates!$F$17,IF(AND(OR($B$2="New Consultant Contract"),$B94&lt;&gt;""),$C94*Thresholds_Rates!$F$17,IF(AND(OR($B$2="Clinical Lecturer / Medical Research Fellow",$B$2="Clinical Consultant - Old Contract (GP)"),$B94&lt;&gt;""),$C94*Thresholds_Rates!$F$17,IF(AND(OR($B$2="APM Level 7",$B$2="R&amp;T Level 7"),G94&lt;&gt;""),$C94*Thresholds_Rates!$F$17,IF(SUMIF(Grades!$A:$A,$B$2,Grades!$BQ:$BQ)=1,$C94*Thresholds_Rates!$F$17,""))))))))</f>
        <v/>
      </c>
      <c r="I94" s="81" t="str">
        <f ca="1">IF($B94="","",IF($C94=0,0,ROUND(($C94-(Thresholds_Rates!$C$5*12))*Thresholds_Rates!$C$10,0)))</f>
        <v/>
      </c>
      <c r="J94" s="81" t="str">
        <f ca="1">IF(B94="","",(C94*Thresholds_Rates!$C$12))</f>
        <v/>
      </c>
      <c r="K94" s="81" t="str">
        <f ca="1">IF(B94="","",IF(AND($B$2="Salary Points 1 to 57",B94&gt;Thresholds_Rates!$C$17),"-",IF(SUMIF(Grades!$A:$A,$B$2,Grades!$BR:$BR)=0,"-",IF(AND($B$2="Salary Points 1 to 57",B94&lt;=Thresholds_Rates!$C$17),$C94*Thresholds_Rates!$F$18,IF(AND(OR($B$2="New Consultant Contract"),$B94&lt;&gt;""),$C94*Thresholds_Rates!$F$18,IF(AND(OR($B$2="Clinical Lecturer / Medical Research Fellow",$B$2="Clinical Consultant - Old Contract (GP)"),$B94&lt;&gt;""),$C94*Thresholds_Rates!$F$18,IF(AND(OR($B$2="APM Level 7",$B$2="R&amp;T Level 7"),I94&lt;&gt;""),$C94*Thresholds_Rates!$F$18,IF(SUMIF(Grades!$A:$A,$B$2,Grades!$BQ:$BQ)=1,$C94*Thresholds_Rates!$F$18,""))))))))</f>
        <v/>
      </c>
      <c r="L94" s="68"/>
      <c r="M94" s="81" t="str">
        <f t="shared" ca="1" si="6"/>
        <v/>
      </c>
      <c r="N94" s="81" t="str">
        <f t="shared" ca="1" si="7"/>
        <v/>
      </c>
      <c r="O94" s="81" t="str">
        <f t="shared" ca="1" si="8"/>
        <v/>
      </c>
      <c r="P94" s="81" t="str">
        <f t="shared" ca="1" si="9"/>
        <v/>
      </c>
      <c r="Q94" s="81" t="str">
        <f t="shared" ca="1" si="10"/>
        <v/>
      </c>
      <c r="R94" s="39"/>
      <c r="S94" s="83" t="str">
        <f ca="1">IF(B94="","",IF($B$2="R&amp;T Level 5 - Clinical Lecturers (Vet School)",SUMIF('Points Lookup'!$V:$V,$B94,'Points Lookup'!$W:$W),IF($B$2="R&amp;T Level 6 - Clinical Associate Professors and Clinical Readers (Vet School)",SUMIF('Points Lookup'!$AC:$AC,$B94,'Points Lookup'!$AD:$AD),"")))</f>
        <v/>
      </c>
      <c r="T94" s="84" t="str">
        <f ca="1">IF(B94="","",IF($B$2="R&amp;T Level 5 - Clinical Lecturers (Vet School)",$C94-SUMIF('Points Lookup'!$V:$V,$B94,'Points Lookup'!$X:$X),IF($B$2="R&amp;T Level 6 - Clinical Associate Professors and Clinical Readers (Vet School)",$C94-SUMIF('Points Lookup'!$AC:$AC,$B94,'Points Lookup'!$AE:$AE),"")))</f>
        <v/>
      </c>
      <c r="U94" s="83" t="str">
        <f ca="1">IF(B94="","",IF($B$2="R&amp;T Level 5 - Clinical Lecturers (Vet School)",SUMIF('Points Lookup'!$V:$V,$B94,'Points Lookup'!$Z:$Z),IF($B$2="R&amp;T Level 6 - Clinical Associate Professors and Clinical Readers (Vet School)",SUMIF('Points Lookup'!$AC:$AC,$B94,'Points Lookup'!$AG:$AG),"")))</f>
        <v/>
      </c>
      <c r="V94" s="84" t="str">
        <f t="shared" ca="1" si="11"/>
        <v/>
      </c>
      <c r="Z94" s="39"/>
      <c r="AA94" s="39"/>
      <c r="AB94" s="39"/>
      <c r="AC94" s="39"/>
      <c r="AD94" s="39"/>
      <c r="AE94" s="39"/>
      <c r="AF94" s="39"/>
      <c r="AO94" s="39"/>
      <c r="AP94" s="39"/>
      <c r="AQ94" s="39"/>
      <c r="AR94" s="39"/>
      <c r="AS94" s="39"/>
      <c r="AT94" s="39"/>
      <c r="AU94" s="39"/>
      <c r="AV94" s="39"/>
      <c r="AW94" s="39"/>
      <c r="AX94" s="39"/>
      <c r="AY94" s="39"/>
      <c r="AZ94" s="39"/>
      <c r="BA94" s="39"/>
      <c r="BB94" s="39"/>
      <c r="BC94" s="39"/>
    </row>
    <row r="95" spans="2:55" s="69" customFormat="1" x14ac:dyDescent="0.25">
      <c r="B95" s="68" t="str">
        <f ca="1">IFERROR(INDEX('Points Lookup'!$A:$A,MATCH($AA97,'Points Lookup'!$AN:$AN,0)),"")</f>
        <v/>
      </c>
      <c r="C95" s="81" t="str">
        <f ca="1">IF(B95="","",SUMIF(INDIRECT("'Points Lookup'!"&amp;VLOOKUP($B$2,Grades!A:BU,72,FALSE)&amp;":"&amp;VLOOKUP($B$2,Grades!A:BU,72,FALSE)),B95,INDIRECT("'Points Lookup'!"&amp;VLOOKUP($B$2,Grades!A:BU,73,FALSE)&amp;":"&amp;VLOOKUP($B$2,Grades!A:BU,73,FALSE))))</f>
        <v/>
      </c>
      <c r="D95" s="81"/>
      <c r="E95" s="81"/>
      <c r="F95" s="81" t="str">
        <f ca="1">IF($B95="","",IF(SUMIF(Grades!$A:$A,$B$2,Grades!$BO:$BO)=0,"-",IF(AND(VLOOKUP($B$2,Grades!$A:$BV,74,FALSE)="YES",B95&lt;Thresholds_Rates!$C$16),"-",$C95*Thresholds_Rates!$F$15)))</f>
        <v/>
      </c>
      <c r="G95" s="81" t="str">
        <f ca="1">IF(B95="","",IF($B$2="Salary Points 1 to 57","-",IF(SUMIF(Grades!$A:$A,$B$2,Grades!$BP:$BP)=0,"-",IF(AND(OR($B$2="New Consultant Contract"),$B95&lt;&gt;""),$C95*Thresholds_Rates!$F$16,IF(AND(OR($B$2="Clinical Lecturer / Medical Research Fellow",$B$2="Clinical Consultant - Old Contract (GP)"),$B95&lt;&gt;""),$C95*Thresholds_Rates!$F$16,IF(AND(OR($B$2="APM Level 7",$B$2="R&amp;T Level 7"),F95&lt;&gt;""),$C95*Thresholds_Rates!$F$16,IF(SUMIF(Grades!$A:$A,$B$2,Grades!$BP:$BP)=1,$C95*Thresholds_Rates!$F$16,"")))))))</f>
        <v/>
      </c>
      <c r="H95" s="81" t="str">
        <f ca="1">IF(B95="","",IF(SUMIF(Grades!$A:$A,$B$2,Grades!$BQ:$BQ)=0,"-",IF(AND($B$2="Salary Points 1 to 57",B95&gt;Thresholds_Rates!$C$17),"-",IF(AND($B$2="Salary Points 1 to 57",B95&lt;=Thresholds_Rates!$C$17),$C95*Thresholds_Rates!$F$17,IF(AND(OR($B$2="New Consultant Contract"),$B95&lt;&gt;""),$C95*Thresholds_Rates!$F$17,IF(AND(OR($B$2="Clinical Lecturer / Medical Research Fellow",$B$2="Clinical Consultant - Old Contract (GP)"),$B95&lt;&gt;""),$C95*Thresholds_Rates!$F$17,IF(AND(OR($B$2="APM Level 7",$B$2="R&amp;T Level 7"),G95&lt;&gt;""),$C95*Thresholds_Rates!$F$17,IF(SUMIF(Grades!$A:$A,$B$2,Grades!$BQ:$BQ)=1,$C95*Thresholds_Rates!$F$17,""))))))))</f>
        <v/>
      </c>
      <c r="I95" s="81" t="str">
        <f ca="1">IF($B95="","",IF($C95=0,0,ROUND(($C95-(Thresholds_Rates!$C$5*12))*Thresholds_Rates!$C$10,0)))</f>
        <v/>
      </c>
      <c r="J95" s="81" t="str">
        <f ca="1">IF(B95="","",(C95*Thresholds_Rates!$C$12))</f>
        <v/>
      </c>
      <c r="K95" s="81" t="str">
        <f ca="1">IF(B95="","",IF(AND($B$2="Salary Points 1 to 57",B95&gt;Thresholds_Rates!$C$17),"-",IF(SUMIF(Grades!$A:$A,$B$2,Grades!$BR:$BR)=0,"-",IF(AND($B$2="Salary Points 1 to 57",B95&lt;=Thresholds_Rates!$C$17),$C95*Thresholds_Rates!$F$18,IF(AND(OR($B$2="New Consultant Contract"),$B95&lt;&gt;""),$C95*Thresholds_Rates!$F$18,IF(AND(OR($B$2="Clinical Lecturer / Medical Research Fellow",$B$2="Clinical Consultant - Old Contract (GP)"),$B95&lt;&gt;""),$C95*Thresholds_Rates!$F$18,IF(AND(OR($B$2="APM Level 7",$B$2="R&amp;T Level 7"),I95&lt;&gt;""),$C95*Thresholds_Rates!$F$18,IF(SUMIF(Grades!$A:$A,$B$2,Grades!$BQ:$BQ)=1,$C95*Thresholds_Rates!$F$18,""))))))))</f>
        <v/>
      </c>
      <c r="L95" s="68"/>
      <c r="M95" s="81" t="str">
        <f t="shared" ca="1" si="6"/>
        <v/>
      </c>
      <c r="N95" s="81" t="str">
        <f t="shared" ca="1" si="7"/>
        <v/>
      </c>
      <c r="O95" s="81" t="str">
        <f t="shared" ca="1" si="8"/>
        <v/>
      </c>
      <c r="P95" s="81" t="str">
        <f t="shared" ca="1" si="9"/>
        <v/>
      </c>
      <c r="Q95" s="81" t="str">
        <f t="shared" ca="1" si="10"/>
        <v/>
      </c>
      <c r="R95" s="39"/>
      <c r="S95" s="83" t="str">
        <f ca="1">IF(B95="","",IF($B$2="R&amp;T Level 5 - Clinical Lecturers (Vet School)",SUMIF('Points Lookup'!$V:$V,$B95,'Points Lookup'!$W:$W),IF($B$2="R&amp;T Level 6 - Clinical Associate Professors and Clinical Readers (Vet School)",SUMIF('Points Lookup'!$AC:$AC,$B95,'Points Lookup'!$AD:$AD),"")))</f>
        <v/>
      </c>
      <c r="T95" s="84" t="str">
        <f ca="1">IF(B95="","",IF($B$2="R&amp;T Level 5 - Clinical Lecturers (Vet School)",$C95-SUMIF('Points Lookup'!$V:$V,$B95,'Points Lookup'!$X:$X),IF($B$2="R&amp;T Level 6 - Clinical Associate Professors and Clinical Readers (Vet School)",$C95-SUMIF('Points Lookup'!$AC:$AC,$B95,'Points Lookup'!$AE:$AE),"")))</f>
        <v/>
      </c>
      <c r="U95" s="83" t="str">
        <f ca="1">IF(B95="","",IF($B$2="R&amp;T Level 5 - Clinical Lecturers (Vet School)",SUMIF('Points Lookup'!$V:$V,$B95,'Points Lookup'!$Z:$Z),IF($B$2="R&amp;T Level 6 - Clinical Associate Professors and Clinical Readers (Vet School)",SUMIF('Points Lookup'!$AC:$AC,$B95,'Points Lookup'!$AG:$AG),"")))</f>
        <v/>
      </c>
      <c r="V95" s="84" t="str">
        <f t="shared" ca="1" si="11"/>
        <v/>
      </c>
      <c r="Z95" s="39"/>
      <c r="AA95" s="39"/>
      <c r="AB95" s="39"/>
      <c r="AC95" s="39"/>
      <c r="AD95" s="39"/>
      <c r="AE95" s="39"/>
      <c r="AF95" s="39"/>
      <c r="AO95" s="39"/>
      <c r="AP95" s="39"/>
      <c r="AQ95" s="39"/>
      <c r="AR95" s="39"/>
      <c r="AS95" s="39"/>
      <c r="AT95" s="39"/>
      <c r="AU95" s="39"/>
      <c r="AV95" s="39"/>
      <c r="AW95" s="39"/>
      <c r="AX95" s="39"/>
      <c r="AY95" s="39"/>
      <c r="AZ95" s="39"/>
      <c r="BA95" s="39"/>
      <c r="BB95" s="39"/>
      <c r="BC95" s="39"/>
    </row>
    <row r="96" spans="2:55" s="69" customFormat="1" x14ac:dyDescent="0.25">
      <c r="B96" s="68" t="str">
        <f ca="1">IFERROR(INDEX('Points Lookup'!$A:$A,MATCH($AA98,'Points Lookup'!$AN:$AN,0)),"")</f>
        <v/>
      </c>
      <c r="C96" s="81" t="str">
        <f ca="1">IF(B96="","",SUMIF(INDIRECT("'Points Lookup'!"&amp;VLOOKUP($B$2,Grades!A:BU,72,FALSE)&amp;":"&amp;VLOOKUP($B$2,Grades!A:BU,72,FALSE)),B96,INDIRECT("'Points Lookup'!"&amp;VLOOKUP($B$2,Grades!A:BU,73,FALSE)&amp;":"&amp;VLOOKUP($B$2,Grades!A:BU,73,FALSE))))</f>
        <v/>
      </c>
      <c r="D96" s="81"/>
      <c r="E96" s="81"/>
      <c r="F96" s="81" t="str">
        <f ca="1">IF($B96="","",IF(SUMIF(Grades!$A:$A,$B$2,Grades!$BO:$BO)=0,"-",IF(AND(VLOOKUP($B$2,Grades!$A:$BV,74,FALSE)="YES",B96&lt;Thresholds_Rates!$C$16),"-",$C96*Thresholds_Rates!$F$15)))</f>
        <v/>
      </c>
      <c r="G96" s="81" t="str">
        <f ca="1">IF(B96="","",IF($B$2="Salary Points 1 to 57","-",IF(SUMIF(Grades!$A:$A,$B$2,Grades!$BP:$BP)=0,"-",IF(AND(OR($B$2="New Consultant Contract"),$B96&lt;&gt;""),$C96*Thresholds_Rates!$F$16,IF(AND(OR($B$2="Clinical Lecturer / Medical Research Fellow",$B$2="Clinical Consultant - Old Contract (GP)"),$B96&lt;&gt;""),$C96*Thresholds_Rates!$F$16,IF(AND(OR($B$2="APM Level 7",$B$2="R&amp;T Level 7"),F96&lt;&gt;""),$C96*Thresholds_Rates!$F$16,IF(SUMIF(Grades!$A:$A,$B$2,Grades!$BP:$BP)=1,$C96*Thresholds_Rates!$F$16,"")))))))</f>
        <v/>
      </c>
      <c r="H96" s="81" t="str">
        <f ca="1">IF(B96="","",IF(SUMIF(Grades!$A:$A,$B$2,Grades!$BQ:$BQ)=0,"-",IF(AND($B$2="Salary Points 1 to 57",B96&gt;Thresholds_Rates!$C$17),"-",IF(AND($B$2="Salary Points 1 to 57",B96&lt;=Thresholds_Rates!$C$17),$C96*Thresholds_Rates!$F$17,IF(AND(OR($B$2="New Consultant Contract"),$B96&lt;&gt;""),$C96*Thresholds_Rates!$F$17,IF(AND(OR($B$2="Clinical Lecturer / Medical Research Fellow",$B$2="Clinical Consultant - Old Contract (GP)"),$B96&lt;&gt;""),$C96*Thresholds_Rates!$F$17,IF(AND(OR($B$2="APM Level 7",$B$2="R&amp;T Level 7"),G96&lt;&gt;""),$C96*Thresholds_Rates!$F$17,IF(SUMIF(Grades!$A:$A,$B$2,Grades!$BQ:$BQ)=1,$C96*Thresholds_Rates!$F$17,""))))))))</f>
        <v/>
      </c>
      <c r="I96" s="81" t="str">
        <f ca="1">IF($B96="","",IF($C96=0,0,ROUND(($C96-(Thresholds_Rates!$C$5*12))*Thresholds_Rates!$C$10,0)))</f>
        <v/>
      </c>
      <c r="J96" s="81" t="str">
        <f ca="1">IF(B96="","",(C96*Thresholds_Rates!$C$12))</f>
        <v/>
      </c>
      <c r="K96" s="81" t="str">
        <f ca="1">IF(B96="","",IF(AND($B$2="Salary Points 1 to 57",B96&gt;Thresholds_Rates!$C$17),"-",IF(SUMIF(Grades!$A:$A,$B$2,Grades!$BR:$BR)=0,"-",IF(AND($B$2="Salary Points 1 to 57",B96&lt;=Thresholds_Rates!$C$17),$C96*Thresholds_Rates!$F$18,IF(AND(OR($B$2="New Consultant Contract"),$B96&lt;&gt;""),$C96*Thresholds_Rates!$F$18,IF(AND(OR($B$2="Clinical Lecturer / Medical Research Fellow",$B$2="Clinical Consultant - Old Contract (GP)"),$B96&lt;&gt;""),$C96*Thresholds_Rates!$F$18,IF(AND(OR($B$2="APM Level 7",$B$2="R&amp;T Level 7"),I96&lt;&gt;""),$C96*Thresholds_Rates!$F$18,IF(SUMIF(Grades!$A:$A,$B$2,Grades!$BQ:$BQ)=1,$C96*Thresholds_Rates!$F$18,""))))))))</f>
        <v/>
      </c>
      <c r="L96" s="68"/>
      <c r="M96" s="81" t="str">
        <f t="shared" ca="1" si="6"/>
        <v/>
      </c>
      <c r="N96" s="81" t="str">
        <f t="shared" ca="1" si="7"/>
        <v/>
      </c>
      <c r="O96" s="81" t="str">
        <f t="shared" ca="1" si="8"/>
        <v/>
      </c>
      <c r="P96" s="81" t="str">
        <f t="shared" ca="1" si="9"/>
        <v/>
      </c>
      <c r="Q96" s="81" t="str">
        <f t="shared" ca="1" si="10"/>
        <v/>
      </c>
      <c r="R96" s="39"/>
      <c r="S96" s="83" t="str">
        <f ca="1">IF(B96="","",IF($B$2="R&amp;T Level 5 - Clinical Lecturers (Vet School)",SUMIF('Points Lookup'!$V:$V,$B96,'Points Lookup'!$W:$W),IF($B$2="R&amp;T Level 6 - Clinical Associate Professors and Clinical Readers (Vet School)",SUMIF('Points Lookup'!$AC:$AC,$B96,'Points Lookup'!$AD:$AD),"")))</f>
        <v/>
      </c>
      <c r="T96" s="84" t="str">
        <f ca="1">IF(B96="","",IF($B$2="R&amp;T Level 5 - Clinical Lecturers (Vet School)",$C96-SUMIF('Points Lookup'!$V:$V,$B96,'Points Lookup'!$X:$X),IF($B$2="R&amp;T Level 6 - Clinical Associate Professors and Clinical Readers (Vet School)",$C96-SUMIF('Points Lookup'!$AC:$AC,$B96,'Points Lookup'!$AE:$AE),"")))</f>
        <v/>
      </c>
      <c r="U96" s="83" t="str">
        <f ca="1">IF(B96="","",IF($B$2="R&amp;T Level 5 - Clinical Lecturers (Vet School)",SUMIF('Points Lookup'!$V:$V,$B96,'Points Lookup'!$Z:$Z),IF($B$2="R&amp;T Level 6 - Clinical Associate Professors and Clinical Readers (Vet School)",SUMIF('Points Lookup'!$AC:$AC,$B96,'Points Lookup'!$AG:$AG),"")))</f>
        <v/>
      </c>
      <c r="V96" s="84" t="str">
        <f t="shared" ca="1" si="11"/>
        <v/>
      </c>
      <c r="Z96" s="39"/>
      <c r="AA96" s="39"/>
      <c r="AB96" s="39"/>
      <c r="AC96" s="39"/>
      <c r="AD96" s="39"/>
      <c r="AE96" s="39"/>
      <c r="AF96" s="39"/>
      <c r="AO96" s="39"/>
      <c r="AP96" s="39"/>
      <c r="AQ96" s="39"/>
      <c r="AR96" s="39"/>
      <c r="AS96" s="39"/>
      <c r="AT96" s="39"/>
      <c r="AU96" s="39"/>
      <c r="AV96" s="39"/>
      <c r="AW96" s="39"/>
      <c r="AX96" s="39"/>
      <c r="AY96" s="39"/>
      <c r="AZ96" s="39"/>
      <c r="BA96" s="39"/>
      <c r="BB96" s="39"/>
      <c r="BC96" s="39"/>
    </row>
    <row r="97" spans="2:55" s="69" customFormat="1" x14ac:dyDescent="0.25">
      <c r="B97" s="68" t="str">
        <f ca="1">IFERROR(INDEX('Points Lookup'!$A:$A,MATCH($AA99,'Points Lookup'!$AN:$AN,0)),"")</f>
        <v/>
      </c>
      <c r="C97" s="81" t="str">
        <f ca="1">IF(B97="","",SUMIF(INDIRECT("'Points Lookup'!"&amp;VLOOKUP($B$2,Grades!A:BU,72,FALSE)&amp;":"&amp;VLOOKUP($B$2,Grades!A:BU,72,FALSE)),B97,INDIRECT("'Points Lookup'!"&amp;VLOOKUP($B$2,Grades!A:BU,73,FALSE)&amp;":"&amp;VLOOKUP($B$2,Grades!A:BU,73,FALSE))))</f>
        <v/>
      </c>
      <c r="D97" s="81"/>
      <c r="E97" s="81"/>
      <c r="F97" s="81" t="str">
        <f ca="1">IF($B97="","",IF(SUMIF(Grades!$A:$A,$B$2,Grades!$BO:$BO)=0,"-",IF(AND(VLOOKUP($B$2,Grades!$A:$BV,74,FALSE)="YES",B97&lt;Thresholds_Rates!$C$16),"-",$C97*Thresholds_Rates!$F$15)))</f>
        <v/>
      </c>
      <c r="G97" s="81" t="str">
        <f ca="1">IF(B97="","",IF($B$2="Salary Points 1 to 57","-",IF(SUMIF(Grades!$A:$A,$B$2,Grades!$BP:$BP)=0,"-",IF(AND(OR($B$2="New Consultant Contract"),$B97&lt;&gt;""),$C97*Thresholds_Rates!$F$16,IF(AND(OR($B$2="Clinical Lecturer / Medical Research Fellow",$B$2="Clinical Consultant - Old Contract (GP)"),$B97&lt;&gt;""),$C97*Thresholds_Rates!$F$16,IF(AND(OR($B$2="APM Level 7",$B$2="R&amp;T Level 7"),F97&lt;&gt;""),$C97*Thresholds_Rates!$F$16,IF(SUMIF(Grades!$A:$A,$B$2,Grades!$BP:$BP)=1,$C97*Thresholds_Rates!$F$16,"")))))))</f>
        <v/>
      </c>
      <c r="H97" s="81" t="str">
        <f ca="1">IF(B97="","",IF(SUMIF(Grades!$A:$A,$B$2,Grades!$BQ:$BQ)=0,"-",IF(AND($B$2="Salary Points 1 to 57",B97&gt;Thresholds_Rates!$C$17),"-",IF(AND($B$2="Salary Points 1 to 57",B97&lt;=Thresholds_Rates!$C$17),$C97*Thresholds_Rates!$F$17,IF(AND(OR($B$2="New Consultant Contract"),$B97&lt;&gt;""),$C97*Thresholds_Rates!$F$17,IF(AND(OR($B$2="Clinical Lecturer / Medical Research Fellow",$B$2="Clinical Consultant - Old Contract (GP)"),$B97&lt;&gt;""),$C97*Thresholds_Rates!$F$17,IF(AND(OR($B$2="APM Level 7",$B$2="R&amp;T Level 7"),G97&lt;&gt;""),$C97*Thresholds_Rates!$F$17,IF(SUMIF(Grades!$A:$A,$B$2,Grades!$BQ:$BQ)=1,$C97*Thresholds_Rates!$F$17,""))))))))</f>
        <v/>
      </c>
      <c r="I97" s="81" t="str">
        <f ca="1">IF($B97="","",IF($C97=0,0,ROUND(($C97-(Thresholds_Rates!$C$5*12))*Thresholds_Rates!$C$10,0)))</f>
        <v/>
      </c>
      <c r="J97" s="81" t="str">
        <f ca="1">IF(B97="","",(C97*Thresholds_Rates!$C$12))</f>
        <v/>
      </c>
      <c r="K97" s="81" t="str">
        <f ca="1">IF(B97="","",IF(AND($B$2="Salary Points 1 to 57",B97&gt;Thresholds_Rates!$C$17),"-",IF(SUMIF(Grades!$A:$A,$B$2,Grades!$BR:$BR)=0,"-",IF(AND($B$2="Salary Points 1 to 57",B97&lt;=Thresholds_Rates!$C$17),$C97*Thresholds_Rates!$F$18,IF(AND(OR($B$2="New Consultant Contract"),$B97&lt;&gt;""),$C97*Thresholds_Rates!$F$18,IF(AND(OR($B$2="Clinical Lecturer / Medical Research Fellow",$B$2="Clinical Consultant - Old Contract (GP)"),$B97&lt;&gt;""),$C97*Thresholds_Rates!$F$18,IF(AND(OR($B$2="APM Level 7",$B$2="R&amp;T Level 7"),I97&lt;&gt;""),$C97*Thresholds_Rates!$F$18,IF(SUMIF(Grades!$A:$A,$B$2,Grades!$BQ:$BQ)=1,$C97*Thresholds_Rates!$F$18,""))))))))</f>
        <v/>
      </c>
      <c r="L97" s="68"/>
      <c r="M97" s="81" t="str">
        <f t="shared" ca="1" si="6"/>
        <v/>
      </c>
      <c r="N97" s="81" t="str">
        <f t="shared" ca="1" si="7"/>
        <v/>
      </c>
      <c r="O97" s="81" t="str">
        <f t="shared" ca="1" si="8"/>
        <v/>
      </c>
      <c r="P97" s="81" t="str">
        <f t="shared" ca="1" si="9"/>
        <v/>
      </c>
      <c r="Q97" s="81" t="str">
        <f t="shared" ca="1" si="10"/>
        <v/>
      </c>
      <c r="R97" s="39"/>
      <c r="S97" s="83" t="str">
        <f ca="1">IF(B97="","",IF($B$2="R&amp;T Level 5 - Clinical Lecturers (Vet School)",SUMIF('Points Lookup'!$V:$V,$B97,'Points Lookup'!$W:$W),IF($B$2="R&amp;T Level 6 - Clinical Associate Professors and Clinical Readers (Vet School)",SUMIF('Points Lookup'!$AC:$AC,$B97,'Points Lookup'!$AD:$AD),"")))</f>
        <v/>
      </c>
      <c r="T97" s="84" t="str">
        <f ca="1">IF(B97="","",IF($B$2="R&amp;T Level 5 - Clinical Lecturers (Vet School)",$C97-SUMIF('Points Lookup'!$V:$V,$B97,'Points Lookup'!$X:$X),IF($B$2="R&amp;T Level 6 - Clinical Associate Professors and Clinical Readers (Vet School)",$C97-SUMIF('Points Lookup'!$AC:$AC,$B97,'Points Lookup'!$AE:$AE),"")))</f>
        <v/>
      </c>
      <c r="U97" s="83" t="str">
        <f ca="1">IF(B97="","",IF($B$2="R&amp;T Level 5 - Clinical Lecturers (Vet School)",SUMIF('Points Lookup'!$V:$V,$B97,'Points Lookup'!$Z:$Z),IF($B$2="R&amp;T Level 6 - Clinical Associate Professors and Clinical Readers (Vet School)",SUMIF('Points Lookup'!$AC:$AC,$B97,'Points Lookup'!$AG:$AG),"")))</f>
        <v/>
      </c>
      <c r="V97" s="84" t="str">
        <f t="shared" ca="1" si="11"/>
        <v/>
      </c>
      <c r="Z97" s="39"/>
      <c r="AA97" s="39"/>
      <c r="AB97" s="39"/>
      <c r="AC97" s="39"/>
      <c r="AD97" s="39"/>
      <c r="AE97" s="39"/>
      <c r="AF97" s="39"/>
      <c r="AO97" s="39"/>
      <c r="AP97" s="39"/>
      <c r="AQ97" s="39"/>
      <c r="AR97" s="39"/>
      <c r="AS97" s="39"/>
      <c r="AT97" s="39"/>
      <c r="AU97" s="39"/>
      <c r="AV97" s="39"/>
      <c r="AW97" s="39"/>
      <c r="AX97" s="39"/>
      <c r="AY97" s="39"/>
      <c r="AZ97" s="39"/>
      <c r="BA97" s="39"/>
      <c r="BB97" s="39"/>
      <c r="BC97" s="39"/>
    </row>
    <row r="98" spans="2:55" s="69" customFormat="1" x14ac:dyDescent="0.25">
      <c r="B98" s="68" t="str">
        <f ca="1">IFERROR(INDEX('Points Lookup'!$A:$A,MATCH($AA100,'Points Lookup'!$AN:$AN,0)),"")</f>
        <v/>
      </c>
      <c r="C98" s="81" t="str">
        <f ca="1">IF(B98="","",SUMIF(INDIRECT("'Points Lookup'!"&amp;VLOOKUP($B$2,Grades!A:BU,72,FALSE)&amp;":"&amp;VLOOKUP($B$2,Grades!A:BU,72,FALSE)),B98,INDIRECT("'Points Lookup'!"&amp;VLOOKUP($B$2,Grades!A:BU,73,FALSE)&amp;":"&amp;VLOOKUP($B$2,Grades!A:BU,73,FALSE))))</f>
        <v/>
      </c>
      <c r="D98" s="81"/>
      <c r="E98" s="81"/>
      <c r="F98" s="81" t="str">
        <f ca="1">IF($B98="","",IF(SUMIF(Grades!$A:$A,$B$2,Grades!$BO:$BO)=0,"-",IF(AND(VLOOKUP($B$2,Grades!$A:$BV,74,FALSE)="YES",B98&lt;Thresholds_Rates!$C$16),"-",$C98*Thresholds_Rates!$F$15)))</f>
        <v/>
      </c>
      <c r="G98" s="81" t="str">
        <f ca="1">IF(B98="","",IF($B$2="Salary Points 1 to 57","-",IF(SUMIF(Grades!$A:$A,$B$2,Grades!$BP:$BP)=0,"-",IF(AND(OR($B$2="New Consultant Contract"),$B98&lt;&gt;""),$C98*Thresholds_Rates!$F$16,IF(AND(OR($B$2="Clinical Lecturer / Medical Research Fellow",$B$2="Clinical Consultant - Old Contract (GP)"),$B98&lt;&gt;""),$C98*Thresholds_Rates!$F$16,IF(AND(OR($B$2="APM Level 7",$B$2="R&amp;T Level 7"),F98&lt;&gt;""),$C98*Thresholds_Rates!$F$16,IF(SUMIF(Grades!$A:$A,$B$2,Grades!$BP:$BP)=1,$C98*Thresholds_Rates!$F$16,"")))))))</f>
        <v/>
      </c>
      <c r="H98" s="81" t="str">
        <f ca="1">IF(B98="","",IF(SUMIF(Grades!$A:$A,$B$2,Grades!$BQ:$BQ)=0,"-",IF(AND($B$2="Salary Points 1 to 57",B98&gt;Thresholds_Rates!$C$17),"-",IF(AND($B$2="Salary Points 1 to 57",B98&lt;=Thresholds_Rates!$C$17),$C98*Thresholds_Rates!$F$17,IF(AND(OR($B$2="New Consultant Contract"),$B98&lt;&gt;""),$C98*Thresholds_Rates!$F$17,IF(AND(OR($B$2="Clinical Lecturer / Medical Research Fellow",$B$2="Clinical Consultant - Old Contract (GP)"),$B98&lt;&gt;""),$C98*Thresholds_Rates!$F$17,IF(AND(OR($B$2="APM Level 7",$B$2="R&amp;T Level 7"),G98&lt;&gt;""),$C98*Thresholds_Rates!$F$17,IF(SUMIF(Grades!$A:$A,$B$2,Grades!$BQ:$BQ)=1,$C98*Thresholds_Rates!$F$17,""))))))))</f>
        <v/>
      </c>
      <c r="I98" s="81" t="str">
        <f ca="1">IF($B98="","",IF($C98=0,0,ROUND(($C98-(Thresholds_Rates!$C$5*12))*Thresholds_Rates!$C$10,0)))</f>
        <v/>
      </c>
      <c r="J98" s="81" t="str">
        <f ca="1">IF(B98="","",(C98*Thresholds_Rates!$C$12))</f>
        <v/>
      </c>
      <c r="K98" s="81" t="str">
        <f ca="1">IF(B98="","",IF(AND($B$2="Salary Points 1 to 57",B98&gt;Thresholds_Rates!$C$17),"-",IF(SUMIF(Grades!$A:$A,$B$2,Grades!$BR:$BR)=0,"-",IF(AND($B$2="Salary Points 1 to 57",B98&lt;=Thresholds_Rates!$C$17),$C98*Thresholds_Rates!$F$18,IF(AND(OR($B$2="New Consultant Contract"),$B98&lt;&gt;""),$C98*Thresholds_Rates!$F$18,IF(AND(OR($B$2="Clinical Lecturer / Medical Research Fellow",$B$2="Clinical Consultant - Old Contract (GP)"),$B98&lt;&gt;""),$C98*Thresholds_Rates!$F$18,IF(AND(OR($B$2="APM Level 7",$B$2="R&amp;T Level 7"),I98&lt;&gt;""),$C98*Thresholds_Rates!$F$18,IF(SUMIF(Grades!$A:$A,$B$2,Grades!$BQ:$BQ)=1,$C98*Thresholds_Rates!$F$18,""))))))))</f>
        <v/>
      </c>
      <c r="L98" s="68"/>
      <c r="M98" s="81" t="str">
        <f t="shared" ca="1" si="6"/>
        <v/>
      </c>
      <c r="N98" s="81" t="str">
        <f t="shared" ca="1" si="7"/>
        <v/>
      </c>
      <c r="O98" s="81" t="str">
        <f t="shared" ca="1" si="8"/>
        <v/>
      </c>
      <c r="P98" s="81" t="str">
        <f t="shared" ca="1" si="9"/>
        <v/>
      </c>
      <c r="Q98" s="81" t="str">
        <f t="shared" ca="1" si="10"/>
        <v/>
      </c>
      <c r="R98" s="39"/>
      <c r="S98" s="83" t="str">
        <f ca="1">IF(B98="","",IF($B$2="R&amp;T Level 5 - Clinical Lecturers (Vet School)",SUMIF('Points Lookup'!$V:$V,$B98,'Points Lookup'!$W:$W),IF($B$2="R&amp;T Level 6 - Clinical Associate Professors and Clinical Readers (Vet School)",SUMIF('Points Lookup'!$AC:$AC,$B98,'Points Lookup'!$AD:$AD),"")))</f>
        <v/>
      </c>
      <c r="T98" s="84" t="str">
        <f ca="1">IF(B98="","",IF($B$2="R&amp;T Level 5 - Clinical Lecturers (Vet School)",$C98-SUMIF('Points Lookup'!$V:$V,$B98,'Points Lookup'!$X:$X),IF($B$2="R&amp;T Level 6 - Clinical Associate Professors and Clinical Readers (Vet School)",$C98-SUMIF('Points Lookup'!$AC:$AC,$B98,'Points Lookup'!$AE:$AE),"")))</f>
        <v/>
      </c>
      <c r="U98" s="83" t="str">
        <f ca="1">IF(B98="","",IF($B$2="R&amp;T Level 5 - Clinical Lecturers (Vet School)",SUMIF('Points Lookup'!$V:$V,$B98,'Points Lookup'!$Z:$Z),IF($B$2="R&amp;T Level 6 - Clinical Associate Professors and Clinical Readers (Vet School)",SUMIF('Points Lookup'!$AC:$AC,$B98,'Points Lookup'!$AG:$AG),"")))</f>
        <v/>
      </c>
      <c r="V98" s="84" t="str">
        <f t="shared" ca="1" si="11"/>
        <v/>
      </c>
      <c r="Z98" s="39"/>
      <c r="AA98" s="39"/>
      <c r="AB98" s="39"/>
      <c r="AC98" s="39"/>
      <c r="AD98" s="39"/>
      <c r="AE98" s="39"/>
      <c r="AF98" s="39"/>
      <c r="AO98" s="39"/>
      <c r="AP98" s="39"/>
      <c r="AQ98" s="39"/>
      <c r="AR98" s="39"/>
      <c r="AS98" s="39"/>
      <c r="AT98" s="39"/>
      <c r="AU98" s="39"/>
      <c r="AV98" s="39"/>
      <c r="AW98" s="39"/>
      <c r="AX98" s="39"/>
      <c r="AY98" s="39"/>
      <c r="AZ98" s="39"/>
      <c r="BA98" s="39"/>
      <c r="BB98" s="39"/>
      <c r="BC98" s="39"/>
    </row>
    <row r="99" spans="2:55" s="69" customFormat="1" x14ac:dyDescent="0.25">
      <c r="B99" s="68" t="str">
        <f ca="1">IFERROR(INDEX('Points Lookup'!$A:$A,MATCH($AA101,'Points Lookup'!$AN:$AN,0)),"")</f>
        <v/>
      </c>
      <c r="C99" s="81" t="str">
        <f ca="1">IF(B99="","",SUMIF(INDIRECT("'Points Lookup'!"&amp;VLOOKUP($B$2,Grades!A:BU,72,FALSE)&amp;":"&amp;VLOOKUP($B$2,Grades!A:BU,72,FALSE)),B99,INDIRECT("'Points Lookup'!"&amp;VLOOKUP($B$2,Grades!A:BU,73,FALSE)&amp;":"&amp;VLOOKUP($B$2,Grades!A:BU,73,FALSE))))</f>
        <v/>
      </c>
      <c r="D99" s="81"/>
      <c r="E99" s="81"/>
      <c r="F99" s="81" t="str">
        <f ca="1">IF($B99="","",IF(SUMIF(Grades!$A:$A,$B$2,Grades!$BO:$BO)=0,"-",IF(AND(VLOOKUP($B$2,Grades!$A:$BV,74,FALSE)="YES",B99&lt;Thresholds_Rates!$C$16),"-",$C99*Thresholds_Rates!$F$15)))</f>
        <v/>
      </c>
      <c r="G99" s="81" t="str">
        <f ca="1">IF(B99="","",IF($B$2="Salary Points 1 to 57","-",IF(SUMIF(Grades!$A:$A,$B$2,Grades!$BP:$BP)=0,"-",IF(AND(OR($B$2="New Consultant Contract"),$B99&lt;&gt;""),$C99*Thresholds_Rates!$F$16,IF(AND(OR($B$2="Clinical Lecturer / Medical Research Fellow",$B$2="Clinical Consultant - Old Contract (GP)"),$B99&lt;&gt;""),$C99*Thresholds_Rates!$F$16,IF(AND(OR($B$2="APM Level 7",$B$2="R&amp;T Level 7"),F99&lt;&gt;""),$C99*Thresholds_Rates!$F$16,IF(SUMIF(Grades!$A:$A,$B$2,Grades!$BP:$BP)=1,$C99*Thresholds_Rates!$F$16,"")))))))</f>
        <v/>
      </c>
      <c r="H99" s="81" t="str">
        <f ca="1">IF(B99="","",IF(SUMIF(Grades!$A:$A,$B$2,Grades!$BQ:$BQ)=0,"-",IF(AND($B$2="Salary Points 1 to 57",B99&gt;Thresholds_Rates!$C$17),"-",IF(AND($B$2="Salary Points 1 to 57",B99&lt;=Thresholds_Rates!$C$17),$C99*Thresholds_Rates!$F$17,IF(AND(OR($B$2="New Consultant Contract"),$B99&lt;&gt;""),$C99*Thresholds_Rates!$F$17,IF(AND(OR($B$2="Clinical Lecturer / Medical Research Fellow",$B$2="Clinical Consultant - Old Contract (GP)"),$B99&lt;&gt;""),$C99*Thresholds_Rates!$F$17,IF(AND(OR($B$2="APM Level 7",$B$2="R&amp;T Level 7"),G99&lt;&gt;""),$C99*Thresholds_Rates!$F$17,IF(SUMIF(Grades!$A:$A,$B$2,Grades!$BQ:$BQ)=1,$C99*Thresholds_Rates!$F$17,""))))))))</f>
        <v/>
      </c>
      <c r="I99" s="81" t="str">
        <f ca="1">IF($B99="","",IF($C99=0,0,ROUND(($C99-(Thresholds_Rates!$C$5*12))*Thresholds_Rates!$C$10,0)))</f>
        <v/>
      </c>
      <c r="J99" s="81" t="str">
        <f ca="1">IF(B99="","",(C99*Thresholds_Rates!$C$12))</f>
        <v/>
      </c>
      <c r="K99" s="81" t="str">
        <f ca="1">IF(B99="","",IF(AND($B$2="Salary Points 1 to 57",B99&gt;Thresholds_Rates!$C$17),"-",IF(SUMIF(Grades!$A:$A,$B$2,Grades!$BR:$BR)=0,"-",IF(AND($B$2="Salary Points 1 to 57",B99&lt;=Thresholds_Rates!$C$17),$C99*Thresholds_Rates!$F$18,IF(AND(OR($B$2="New Consultant Contract"),$B99&lt;&gt;""),$C99*Thresholds_Rates!$F$18,IF(AND(OR($B$2="Clinical Lecturer / Medical Research Fellow",$B$2="Clinical Consultant - Old Contract (GP)"),$B99&lt;&gt;""),$C99*Thresholds_Rates!$F$18,IF(AND(OR($B$2="APM Level 7",$B$2="R&amp;T Level 7"),I99&lt;&gt;""),$C99*Thresholds_Rates!$F$18,IF(SUMIF(Grades!$A:$A,$B$2,Grades!$BQ:$BQ)=1,$C99*Thresholds_Rates!$F$18,""))))))))</f>
        <v/>
      </c>
      <c r="L99" s="68"/>
      <c r="M99" s="81" t="str">
        <f t="shared" ca="1" si="6"/>
        <v/>
      </c>
      <c r="N99" s="81" t="str">
        <f t="shared" ca="1" si="7"/>
        <v/>
      </c>
      <c r="O99" s="81" t="str">
        <f t="shared" ca="1" si="8"/>
        <v/>
      </c>
      <c r="P99" s="81" t="str">
        <f t="shared" ca="1" si="9"/>
        <v/>
      </c>
      <c r="Q99" s="81" t="str">
        <f t="shared" ca="1" si="10"/>
        <v/>
      </c>
      <c r="R99" s="39"/>
      <c r="S99" s="83" t="str">
        <f ca="1">IF(B99="","",IF($B$2="R&amp;T Level 5 - Clinical Lecturers (Vet School)",SUMIF('Points Lookup'!$V:$V,$B99,'Points Lookup'!$W:$W),IF($B$2="R&amp;T Level 6 - Clinical Associate Professors and Clinical Readers (Vet School)",SUMIF('Points Lookup'!$AC:$AC,$B99,'Points Lookup'!$AD:$AD),"")))</f>
        <v/>
      </c>
      <c r="T99" s="84" t="str">
        <f ca="1">IF(B99="","",IF($B$2="R&amp;T Level 5 - Clinical Lecturers (Vet School)",$C99-SUMIF('Points Lookup'!$V:$V,$B99,'Points Lookup'!$X:$X),IF($B$2="R&amp;T Level 6 - Clinical Associate Professors and Clinical Readers (Vet School)",$C99-SUMIF('Points Lookup'!$AC:$AC,$B99,'Points Lookup'!$AE:$AE),"")))</f>
        <v/>
      </c>
      <c r="U99" s="83" t="str">
        <f ca="1">IF(B99="","",IF($B$2="R&amp;T Level 5 - Clinical Lecturers (Vet School)",SUMIF('Points Lookup'!$V:$V,$B99,'Points Lookup'!$Z:$Z),IF($B$2="R&amp;T Level 6 - Clinical Associate Professors and Clinical Readers (Vet School)",SUMIF('Points Lookup'!$AC:$AC,$B99,'Points Lookup'!$AG:$AG),"")))</f>
        <v/>
      </c>
      <c r="V99" s="84" t="str">
        <f t="shared" ca="1" si="11"/>
        <v/>
      </c>
      <c r="Z99" s="39"/>
      <c r="AA99" s="39"/>
      <c r="AB99" s="39"/>
      <c r="AC99" s="39"/>
      <c r="AD99" s="39"/>
      <c r="AE99" s="39"/>
      <c r="AF99" s="39"/>
      <c r="AO99" s="39"/>
      <c r="AP99" s="39"/>
      <c r="AQ99" s="39"/>
      <c r="AR99" s="39"/>
      <c r="AS99" s="39"/>
      <c r="AT99" s="39"/>
      <c r="AU99" s="39"/>
      <c r="AV99" s="39"/>
      <c r="AW99" s="39"/>
      <c r="AX99" s="39"/>
      <c r="AY99" s="39"/>
      <c r="AZ99" s="39"/>
      <c r="BA99" s="39"/>
      <c r="BB99" s="39"/>
      <c r="BC99" s="39"/>
    </row>
    <row r="100" spans="2:55" s="69" customFormat="1" x14ac:dyDescent="0.25">
      <c r="B100" s="68" t="str">
        <f ca="1">IFERROR(INDEX('Points Lookup'!$A:$A,MATCH($AA102,'Points Lookup'!$AN:$AN,0)),"")</f>
        <v/>
      </c>
      <c r="C100" s="81" t="str">
        <f ca="1">IF(B100="","",SUMIF(INDIRECT("'Points Lookup'!"&amp;VLOOKUP($B$2,Grades!A:BU,72,FALSE)&amp;":"&amp;VLOOKUP($B$2,Grades!A:BU,72,FALSE)),B100,INDIRECT("'Points Lookup'!"&amp;VLOOKUP($B$2,Grades!A:BU,73,FALSE)&amp;":"&amp;VLOOKUP($B$2,Grades!A:BU,73,FALSE))))</f>
        <v/>
      </c>
      <c r="D100" s="81"/>
      <c r="E100" s="81"/>
      <c r="F100" s="81" t="str">
        <f ca="1">IF($B100="","",IF(SUMIF(Grades!$A:$A,$B$2,Grades!$BO:$BO)=0,"-",IF(AND(VLOOKUP($B$2,Grades!$A:$BV,74,FALSE)="YES",B100&lt;Thresholds_Rates!$C$16),"-",$C100*Thresholds_Rates!$F$15)))</f>
        <v/>
      </c>
      <c r="G100" s="81" t="str">
        <f ca="1">IF(B100="","",IF($B$2="Salary Points 1 to 57","-",IF(SUMIF(Grades!$A:$A,$B$2,Grades!$BP:$BP)=0,"-",IF(AND(OR($B$2="New Consultant Contract"),$B100&lt;&gt;""),$C100*Thresholds_Rates!$F$16,IF(AND(OR($B$2="Clinical Lecturer / Medical Research Fellow",$B$2="Clinical Consultant - Old Contract (GP)"),$B100&lt;&gt;""),$C100*Thresholds_Rates!$F$16,IF(AND(OR($B$2="APM Level 7",$B$2="R&amp;T Level 7"),F100&lt;&gt;""),$C100*Thresholds_Rates!$F$16,IF(SUMIF(Grades!$A:$A,$B$2,Grades!$BP:$BP)=1,$C100*Thresholds_Rates!$F$16,"")))))))</f>
        <v/>
      </c>
      <c r="H100" s="81" t="str">
        <f ca="1">IF(B100="","",IF(SUMIF(Grades!$A:$A,$B$2,Grades!$BQ:$BQ)=0,"-",IF(AND($B$2="Salary Points 1 to 57",B100&gt;Thresholds_Rates!$C$17),"-",IF(AND($B$2="Salary Points 1 to 57",B100&lt;=Thresholds_Rates!$C$17),$C100*Thresholds_Rates!$F$17,IF(AND(OR($B$2="New Consultant Contract"),$B100&lt;&gt;""),$C100*Thresholds_Rates!$F$17,IF(AND(OR($B$2="Clinical Lecturer / Medical Research Fellow",$B$2="Clinical Consultant - Old Contract (GP)"),$B100&lt;&gt;""),$C100*Thresholds_Rates!$F$17,IF(AND(OR($B$2="APM Level 7",$B$2="R&amp;T Level 7"),G100&lt;&gt;""),$C100*Thresholds_Rates!$F$17,IF(SUMIF(Grades!$A:$A,$B$2,Grades!$BQ:$BQ)=1,$C100*Thresholds_Rates!$F$17,""))))))))</f>
        <v/>
      </c>
      <c r="I100" s="81" t="str">
        <f ca="1">IF($B100="","",IF($C100=0,0,ROUND(($C100-(Thresholds_Rates!$C$5*12))*Thresholds_Rates!$C$10,0)))</f>
        <v/>
      </c>
      <c r="J100" s="81" t="str">
        <f ca="1">IF(B100="","",(C100*Thresholds_Rates!$C$12))</f>
        <v/>
      </c>
      <c r="K100" s="81" t="str">
        <f ca="1">IF(B100="","",IF(AND($B$2="Salary Points 1 to 57",B100&gt;Thresholds_Rates!$C$17),"-",IF(SUMIF(Grades!$A:$A,$B$2,Grades!$BR:$BR)=0,"-",IF(AND($B$2="Salary Points 1 to 57",B100&lt;=Thresholds_Rates!$C$17),$C100*Thresholds_Rates!$F$18,IF(AND(OR($B$2="New Consultant Contract"),$B100&lt;&gt;""),$C100*Thresholds_Rates!$F$18,IF(AND(OR($B$2="Clinical Lecturer / Medical Research Fellow",$B$2="Clinical Consultant - Old Contract (GP)"),$B100&lt;&gt;""),$C100*Thresholds_Rates!$F$18,IF(AND(OR($B$2="APM Level 7",$B$2="R&amp;T Level 7"),I100&lt;&gt;""),$C100*Thresholds_Rates!$F$18,IF(SUMIF(Grades!$A:$A,$B$2,Grades!$BQ:$BQ)=1,$C100*Thresholds_Rates!$F$18,""))))))))</f>
        <v/>
      </c>
      <c r="L100" s="68"/>
      <c r="M100" s="81" t="str">
        <f t="shared" ca="1" si="6"/>
        <v/>
      </c>
      <c r="N100" s="81" t="str">
        <f t="shared" ca="1" si="7"/>
        <v/>
      </c>
      <c r="O100" s="81" t="str">
        <f t="shared" ca="1" si="8"/>
        <v/>
      </c>
      <c r="P100" s="81" t="str">
        <f t="shared" ca="1" si="9"/>
        <v/>
      </c>
      <c r="Q100" s="81" t="str">
        <f t="shared" ca="1" si="10"/>
        <v/>
      </c>
      <c r="R100" s="39"/>
      <c r="S100" s="83" t="str">
        <f ca="1">IF(B100="","",IF($B$2="R&amp;T Level 5 - Clinical Lecturers (Vet School)",SUMIF('Points Lookup'!$V:$V,$B100,'Points Lookup'!$W:$W),IF($B$2="R&amp;T Level 6 - Clinical Associate Professors and Clinical Readers (Vet School)",SUMIF('Points Lookup'!$AC:$AC,$B100,'Points Lookup'!$AD:$AD),"")))</f>
        <v/>
      </c>
      <c r="T100" s="84" t="str">
        <f ca="1">IF(B100="","",IF($B$2="R&amp;T Level 5 - Clinical Lecturers (Vet School)",$C100-SUMIF('Points Lookup'!$V:$V,$B100,'Points Lookup'!$X:$X),IF($B$2="R&amp;T Level 6 - Clinical Associate Professors and Clinical Readers (Vet School)",$C100-SUMIF('Points Lookup'!$AC:$AC,$B100,'Points Lookup'!$AE:$AE),"")))</f>
        <v/>
      </c>
      <c r="U100" s="83" t="str">
        <f ca="1">IF(B100="","",IF($B$2="R&amp;T Level 5 - Clinical Lecturers (Vet School)",SUMIF('Points Lookup'!$V:$V,$B100,'Points Lookup'!$Z:$Z),IF($B$2="R&amp;T Level 6 - Clinical Associate Professors and Clinical Readers (Vet School)",SUMIF('Points Lookup'!$AC:$AC,$B100,'Points Lookup'!$AG:$AG),"")))</f>
        <v/>
      </c>
      <c r="V100" s="84" t="str">
        <f t="shared" ca="1" si="11"/>
        <v/>
      </c>
      <c r="Z100" s="39"/>
      <c r="AA100" s="39"/>
      <c r="AB100" s="39"/>
      <c r="AC100" s="39"/>
      <c r="AD100" s="39"/>
      <c r="AE100" s="39"/>
      <c r="AF100" s="39"/>
      <c r="AO100" s="39"/>
      <c r="AP100" s="39"/>
      <c r="AQ100" s="39"/>
      <c r="AR100" s="39"/>
      <c r="AS100" s="39"/>
      <c r="AT100" s="39"/>
      <c r="AU100" s="39"/>
      <c r="AV100" s="39"/>
      <c r="AW100" s="39"/>
      <c r="AX100" s="39"/>
      <c r="AY100" s="39"/>
      <c r="AZ100" s="39"/>
      <c r="BA100" s="39"/>
      <c r="BB100" s="39"/>
      <c r="BC100" s="39"/>
    </row>
    <row r="101" spans="2:55" s="69" customFormat="1" x14ac:dyDescent="0.25">
      <c r="B101" s="68" t="str">
        <f ca="1">IFERROR(INDEX('Points Lookup'!$A:$A,MATCH($AA103,'Points Lookup'!$AN:$AN,0)),"")</f>
        <v/>
      </c>
      <c r="C101" s="81" t="str">
        <f ca="1">IF(B101="","",SUMIF(INDIRECT("'Points Lookup'!"&amp;VLOOKUP($B$2,Grades!A:BU,72,FALSE)&amp;":"&amp;VLOOKUP($B$2,Grades!A:BU,72,FALSE)),B101,INDIRECT("'Points Lookup'!"&amp;VLOOKUP($B$2,Grades!A:BU,73,FALSE)&amp;":"&amp;VLOOKUP($B$2,Grades!A:BU,73,FALSE))))</f>
        <v/>
      </c>
      <c r="D101" s="81"/>
      <c r="E101" s="81"/>
      <c r="F101" s="81" t="str">
        <f ca="1">IF($B101="","",IF(SUMIF(Grades!$A:$A,$B$2,Grades!$BO:$BO)=0,"-",IF(AND(VLOOKUP($B$2,Grades!$A:$BV,74,FALSE)="YES",B101&lt;Thresholds_Rates!$C$16),"-",$C101*Thresholds_Rates!$F$15)))</f>
        <v/>
      </c>
      <c r="G101" s="81" t="str">
        <f ca="1">IF(B101="","",IF($B$2="Salary Points 1 to 57","-",IF(SUMIF(Grades!$A:$A,$B$2,Grades!$BP:$BP)=0,"-",IF(AND(OR($B$2="New Consultant Contract"),$B101&lt;&gt;""),$C101*Thresholds_Rates!$F$16,IF(AND(OR($B$2="Clinical Lecturer / Medical Research Fellow",$B$2="Clinical Consultant - Old Contract (GP)"),$B101&lt;&gt;""),$C101*Thresholds_Rates!$F$16,IF(AND(OR($B$2="APM Level 7",$B$2="R&amp;T Level 7"),F101&lt;&gt;""),$C101*Thresholds_Rates!$F$16,IF(SUMIF(Grades!$A:$A,$B$2,Grades!$BP:$BP)=1,$C101*Thresholds_Rates!$F$16,"")))))))</f>
        <v/>
      </c>
      <c r="H101" s="81" t="str">
        <f ca="1">IF(B101="","",IF(SUMIF(Grades!$A:$A,$B$2,Grades!$BQ:$BQ)=0,"-",IF(AND($B$2="Salary Points 1 to 57",B101&gt;Thresholds_Rates!$C$17),"-",IF(AND($B$2="Salary Points 1 to 57",B101&lt;=Thresholds_Rates!$C$17),$C101*Thresholds_Rates!$F$17,IF(AND(OR($B$2="New Consultant Contract"),$B101&lt;&gt;""),$C101*Thresholds_Rates!$F$17,IF(AND(OR($B$2="Clinical Lecturer / Medical Research Fellow",$B$2="Clinical Consultant - Old Contract (GP)"),$B101&lt;&gt;""),$C101*Thresholds_Rates!$F$17,IF(AND(OR($B$2="APM Level 7",$B$2="R&amp;T Level 7"),G101&lt;&gt;""),$C101*Thresholds_Rates!$F$17,IF(SUMIF(Grades!$A:$A,$B$2,Grades!$BQ:$BQ)=1,$C101*Thresholds_Rates!$F$17,""))))))))</f>
        <v/>
      </c>
      <c r="I101" s="81" t="str">
        <f ca="1">IF($B101="","",IF($C101=0,0,ROUND(($C101-(Thresholds_Rates!$C$5*12))*Thresholds_Rates!$C$10,0)))</f>
        <v/>
      </c>
      <c r="J101" s="81" t="str">
        <f ca="1">IF(B101="","",(C101*Thresholds_Rates!$C$12))</f>
        <v/>
      </c>
      <c r="K101" s="81" t="str">
        <f ca="1">IF(B101="","",IF(AND($B$2="Salary Points 1 to 57",B101&gt;Thresholds_Rates!$C$17),"-",IF(SUMIF(Grades!$A:$A,$B$2,Grades!$BR:$BR)=0,"-",IF(AND($B$2="Salary Points 1 to 57",B101&lt;=Thresholds_Rates!$C$17),$C101*Thresholds_Rates!$F$18,IF(AND(OR($B$2="New Consultant Contract"),$B101&lt;&gt;""),$C101*Thresholds_Rates!$F$18,IF(AND(OR($B$2="Clinical Lecturer / Medical Research Fellow",$B$2="Clinical Consultant - Old Contract (GP)"),$B101&lt;&gt;""),$C101*Thresholds_Rates!$F$18,IF(AND(OR($B$2="APM Level 7",$B$2="R&amp;T Level 7"),I101&lt;&gt;""),$C101*Thresholds_Rates!$F$18,IF(SUMIF(Grades!$A:$A,$B$2,Grades!$BQ:$BQ)=1,$C101*Thresholds_Rates!$F$18,""))))))))</f>
        <v/>
      </c>
      <c r="L101" s="68"/>
      <c r="M101" s="81" t="str">
        <f t="shared" ca="1" si="6"/>
        <v/>
      </c>
      <c r="N101" s="81" t="str">
        <f t="shared" ca="1" si="7"/>
        <v/>
      </c>
      <c r="O101" s="81" t="str">
        <f t="shared" ca="1" si="8"/>
        <v/>
      </c>
      <c r="P101" s="81" t="str">
        <f t="shared" ca="1" si="9"/>
        <v/>
      </c>
      <c r="Q101" s="81" t="str">
        <f t="shared" ca="1" si="10"/>
        <v/>
      </c>
      <c r="R101" s="39"/>
      <c r="S101" s="83" t="str">
        <f ca="1">IF(B101="","",IF($B$2="R&amp;T Level 5 - Clinical Lecturers (Vet School)",SUMIF('Points Lookup'!$V:$V,$B101,'Points Lookup'!$W:$W),IF($B$2="R&amp;T Level 6 - Clinical Associate Professors and Clinical Readers (Vet School)",SUMIF('Points Lookup'!$AC:$AC,$B101,'Points Lookup'!$AD:$AD),"")))</f>
        <v/>
      </c>
      <c r="T101" s="84" t="str">
        <f ca="1">IF(B101="","",IF($B$2="R&amp;T Level 5 - Clinical Lecturers (Vet School)",$C101-SUMIF('Points Lookup'!$V:$V,$B101,'Points Lookup'!$X:$X),IF($B$2="R&amp;T Level 6 - Clinical Associate Professors and Clinical Readers (Vet School)",$C101-SUMIF('Points Lookup'!$AC:$AC,$B101,'Points Lookup'!$AE:$AE),"")))</f>
        <v/>
      </c>
      <c r="U101" s="83" t="str">
        <f ca="1">IF(B101="","",IF($B$2="R&amp;T Level 5 - Clinical Lecturers (Vet School)",SUMIF('Points Lookup'!$V:$V,$B101,'Points Lookup'!$Z:$Z),IF($B$2="R&amp;T Level 6 - Clinical Associate Professors and Clinical Readers (Vet School)",SUMIF('Points Lookup'!$AC:$AC,$B101,'Points Lookup'!$AG:$AG),"")))</f>
        <v/>
      </c>
      <c r="V101" s="84" t="str">
        <f t="shared" ca="1" si="11"/>
        <v/>
      </c>
      <c r="Z101" s="39"/>
      <c r="AA101" s="39"/>
      <c r="AB101" s="39"/>
      <c r="AC101" s="39"/>
      <c r="AD101" s="39"/>
      <c r="AE101" s="39"/>
      <c r="AF101" s="39"/>
      <c r="AO101" s="39"/>
      <c r="AP101" s="39"/>
      <c r="AQ101" s="39"/>
      <c r="AR101" s="39"/>
      <c r="AS101" s="39"/>
      <c r="AT101" s="39"/>
      <c r="AU101" s="39"/>
      <c r="AV101" s="39"/>
      <c r="AW101" s="39"/>
      <c r="AX101" s="39"/>
      <c r="AY101" s="39"/>
      <c r="AZ101" s="39"/>
      <c r="BA101" s="39"/>
      <c r="BB101" s="39"/>
      <c r="BC101" s="39"/>
    </row>
    <row r="102" spans="2:55" s="69" customFormat="1" x14ac:dyDescent="0.25">
      <c r="B102" s="68" t="str">
        <f ca="1">IFERROR(INDEX('Points Lookup'!$A:$A,MATCH($AA104,'Points Lookup'!$AN:$AN,0)),"")</f>
        <v/>
      </c>
      <c r="C102" s="81" t="str">
        <f ca="1">IF(B102="","",SUMIF(INDIRECT("'Points Lookup'!"&amp;VLOOKUP($B$2,Grades!A:BU,72,FALSE)&amp;":"&amp;VLOOKUP($B$2,Grades!A:BU,72,FALSE)),B102,INDIRECT("'Points Lookup'!"&amp;VLOOKUP($B$2,Grades!A:BU,73,FALSE)&amp;":"&amp;VLOOKUP($B$2,Grades!A:BU,73,FALSE))))</f>
        <v/>
      </c>
      <c r="D102" s="81"/>
      <c r="E102" s="81"/>
      <c r="F102" s="81" t="str">
        <f ca="1">IF($B102="","",IF(SUMIF(Grades!$A:$A,$B$2,Grades!$BO:$BO)=0,"-",IF(AND(VLOOKUP($B$2,Grades!$A:$BV,74,FALSE)="YES",B102&lt;Thresholds_Rates!$C$16),"-",$C102*Thresholds_Rates!$F$15)))</f>
        <v/>
      </c>
      <c r="G102" s="81" t="str">
        <f ca="1">IF(B102="","",IF($B$2="Salary Points 1 to 57","-",IF(SUMIF(Grades!$A:$A,$B$2,Grades!$BP:$BP)=0,"-",IF(AND(OR($B$2="New Consultant Contract"),$B102&lt;&gt;""),$C102*Thresholds_Rates!$F$16,IF(AND(OR($B$2="Clinical Lecturer / Medical Research Fellow",$B$2="Clinical Consultant - Old Contract (GP)"),$B102&lt;&gt;""),$C102*Thresholds_Rates!$F$16,IF(AND(OR($B$2="APM Level 7",$B$2="R&amp;T Level 7"),F102&lt;&gt;""),$C102*Thresholds_Rates!$F$16,IF(SUMIF(Grades!$A:$A,$B$2,Grades!$BP:$BP)=1,$C102*Thresholds_Rates!$F$16,"")))))))</f>
        <v/>
      </c>
      <c r="H102" s="81" t="str">
        <f ca="1">IF(B102="","",IF(SUMIF(Grades!$A:$A,$B$2,Grades!$BQ:$BQ)=0,"-",IF(AND($B$2="Salary Points 1 to 57",B102&gt;Thresholds_Rates!$C$17),"-",IF(AND($B$2="Salary Points 1 to 57",B102&lt;=Thresholds_Rates!$C$17),$C102*Thresholds_Rates!$F$17,IF(AND(OR($B$2="New Consultant Contract"),$B102&lt;&gt;""),$C102*Thresholds_Rates!$F$17,IF(AND(OR($B$2="Clinical Lecturer / Medical Research Fellow",$B$2="Clinical Consultant - Old Contract (GP)"),$B102&lt;&gt;""),$C102*Thresholds_Rates!$F$17,IF(AND(OR($B$2="APM Level 7",$B$2="R&amp;T Level 7"),G102&lt;&gt;""),$C102*Thresholds_Rates!$F$17,IF(SUMIF(Grades!$A:$A,$B$2,Grades!$BQ:$BQ)=1,$C102*Thresholds_Rates!$F$17,""))))))))</f>
        <v/>
      </c>
      <c r="I102" s="81"/>
      <c r="J102" s="81" t="str">
        <f ca="1">IF(B102="","",(C102*Thresholds_Rates!$C$12))</f>
        <v/>
      </c>
      <c r="K102" s="81"/>
      <c r="L102" s="68"/>
      <c r="M102" s="81" t="str">
        <f t="shared" ca="1" si="6"/>
        <v/>
      </c>
      <c r="N102" s="81" t="str">
        <f t="shared" ca="1" si="7"/>
        <v/>
      </c>
      <c r="O102" s="81" t="str">
        <f t="shared" ca="1" si="8"/>
        <v/>
      </c>
      <c r="P102" s="81" t="str">
        <f t="shared" ca="1" si="9"/>
        <v/>
      </c>
      <c r="Q102" s="81" t="str">
        <f t="shared" ca="1" si="10"/>
        <v/>
      </c>
      <c r="R102" s="39"/>
      <c r="S102" s="83"/>
      <c r="T102" s="84"/>
      <c r="U102" s="83"/>
      <c r="V102" s="84"/>
      <c r="Z102" s="39"/>
      <c r="AA102" s="39"/>
      <c r="AB102" s="39"/>
      <c r="AC102" s="39"/>
      <c r="AD102" s="39"/>
      <c r="AE102" s="39"/>
      <c r="AF102" s="39"/>
      <c r="AO102" s="39"/>
      <c r="AP102" s="39"/>
      <c r="AQ102" s="39"/>
      <c r="AR102" s="39"/>
      <c r="AS102" s="39"/>
      <c r="AT102" s="39"/>
      <c r="AU102" s="39"/>
      <c r="AV102" s="39"/>
      <c r="AW102" s="39"/>
      <c r="AX102" s="39"/>
      <c r="AY102" s="39"/>
      <c r="AZ102" s="39"/>
      <c r="BA102" s="39"/>
      <c r="BB102" s="39"/>
      <c r="BC102" s="39"/>
    </row>
    <row r="103" spans="2:55" s="69" customFormat="1" x14ac:dyDescent="0.25">
      <c r="B103" s="68" t="str">
        <f ca="1">IFERROR(INDEX('Points Lookup'!$A:$A,MATCH($AA105,'Points Lookup'!$AN:$AN,0)),"")</f>
        <v/>
      </c>
      <c r="C103" s="81" t="str">
        <f ca="1">IF(B103="","",SUMIF(INDIRECT("'Points Lookup'!"&amp;VLOOKUP($B$2,Grades!A:BU,72,FALSE)&amp;":"&amp;VLOOKUP($B$2,Grades!A:BU,72,FALSE)),B103,INDIRECT("'Points Lookup'!"&amp;VLOOKUP($B$2,Grades!A:BU,73,FALSE)&amp;":"&amp;VLOOKUP($B$2,Grades!A:BU,73,FALSE))))</f>
        <v/>
      </c>
      <c r="D103" s="81"/>
      <c r="E103" s="81"/>
      <c r="F103" s="81" t="str">
        <f ca="1">IF($B103="","",IF(SUMIF(Grades!$A:$A,$B$2,Grades!$BO:$BO)=0,"-",IF(AND(VLOOKUP($B$2,Grades!$A:$BV,74,FALSE)="YES",B103&lt;Thresholds_Rates!$C$16),"-",$C103*Thresholds_Rates!$F$15)))</f>
        <v/>
      </c>
      <c r="G103" s="81" t="str">
        <f ca="1">IF(B103="","",IF($B$2="Salary Points 1 to 57","-",IF(SUMIF(Grades!$A:$A,$B$2,Grades!$BP:$BP)=0,"-",IF(AND(OR($B$2="New Consultant Contract"),$B103&lt;&gt;""),$C103*Thresholds_Rates!$F$16,IF(AND(OR($B$2="Clinical Lecturer / Medical Research Fellow",$B$2="Clinical Consultant - Old Contract (GP)"),$B103&lt;&gt;""),$C103*Thresholds_Rates!$F$16,IF(AND(OR($B$2="APM Level 7",$B$2="R&amp;T Level 7"),F103&lt;&gt;""),$C103*Thresholds_Rates!$F$16,IF(SUMIF(Grades!$A:$A,$B$2,Grades!$BP:$BP)=1,$C103*Thresholds_Rates!$F$16,"")))))))</f>
        <v/>
      </c>
      <c r="H103" s="81" t="str">
        <f ca="1">IF(B103="","",IF(SUMIF(Grades!$A:$A,$B$2,Grades!$BQ:$BQ)=0,"-",IF(AND($B$2="Salary Points 1 to 57",B103&gt;Thresholds_Rates!$C$17),"-",IF(AND($B$2="Salary Points 1 to 57",B103&lt;=Thresholds_Rates!$C$17),$C103*Thresholds_Rates!$F$17,IF(AND(OR($B$2="New Consultant Contract"),$B103&lt;&gt;""),$C103*Thresholds_Rates!$F$17,IF(AND(OR($B$2="Clinical Lecturer / Medical Research Fellow",$B$2="Clinical Consultant - Old Contract (GP)"),$B103&lt;&gt;""),$C103*Thresholds_Rates!$F$17,IF(AND(OR($B$2="APM Level 7",$B$2="R&amp;T Level 7"),G103&lt;&gt;""),$C103*Thresholds_Rates!$F$17,IF(SUMIF(Grades!$A:$A,$B$2,Grades!$BQ:$BQ)=1,$C103*Thresholds_Rates!$F$17,""))))))))</f>
        <v/>
      </c>
      <c r="I103" s="81"/>
      <c r="J103" s="81" t="str">
        <f ca="1">IF(B103="","",(C103*Thresholds_Rates!$C$12))</f>
        <v/>
      </c>
      <c r="K103" s="81"/>
      <c r="L103" s="68"/>
      <c r="M103" s="81" t="str">
        <f t="shared" ca="1" si="6"/>
        <v/>
      </c>
      <c r="N103" s="81" t="str">
        <f t="shared" ca="1" si="7"/>
        <v/>
      </c>
      <c r="O103" s="81" t="str">
        <f t="shared" ca="1" si="8"/>
        <v/>
      </c>
      <c r="P103" s="81" t="str">
        <f t="shared" ca="1" si="9"/>
        <v/>
      </c>
      <c r="Q103" s="81" t="str">
        <f t="shared" ca="1" si="10"/>
        <v/>
      </c>
      <c r="R103" s="39"/>
      <c r="S103" s="83"/>
      <c r="T103" s="84"/>
      <c r="U103" s="83"/>
      <c r="V103" s="84"/>
      <c r="Z103" s="39"/>
      <c r="AA103" s="39"/>
      <c r="AB103" s="39"/>
      <c r="AC103" s="39"/>
      <c r="AD103" s="39"/>
      <c r="AE103" s="39"/>
      <c r="AF103" s="39"/>
      <c r="AO103" s="39"/>
      <c r="AP103" s="39"/>
      <c r="AQ103" s="39"/>
      <c r="AR103" s="39"/>
      <c r="AS103" s="39"/>
      <c r="AT103" s="39"/>
      <c r="AU103" s="39"/>
      <c r="AV103" s="39"/>
      <c r="AW103" s="39"/>
      <c r="AX103" s="39"/>
      <c r="AY103" s="39"/>
      <c r="AZ103" s="39"/>
      <c r="BA103" s="39"/>
      <c r="BB103" s="39"/>
      <c r="BC103" s="39"/>
    </row>
    <row r="104" spans="2:55" s="69" customFormat="1" x14ac:dyDescent="0.25">
      <c r="B104" s="68" t="str">
        <f ca="1">IFERROR(INDEX('Points Lookup'!$A:$A,MATCH($AA106,'Points Lookup'!$AN:$AN,0)),"")</f>
        <v/>
      </c>
      <c r="C104" s="81" t="str">
        <f ca="1">IF(B104="","",SUMIF(INDIRECT("'Points Lookup'!"&amp;VLOOKUP($B$2,Grades!A:BU,72,FALSE)&amp;":"&amp;VLOOKUP($B$2,Grades!A:BU,72,FALSE)),B104,INDIRECT("'Points Lookup'!"&amp;VLOOKUP($B$2,Grades!A:BU,73,FALSE)&amp;":"&amp;VLOOKUP($B$2,Grades!A:BU,73,FALSE))))</f>
        <v/>
      </c>
      <c r="D104" s="81"/>
      <c r="E104" s="81"/>
      <c r="F104" s="81" t="str">
        <f ca="1">IF($B104="","",IF(SUMIF(Grades!$A:$A,$B$2,Grades!$BO:$BO)=0,"-",IF(AND(VLOOKUP($B$2,Grades!$A:$BV,74,FALSE)="YES",B104&lt;Thresholds_Rates!$C$16),"-",$C104*Thresholds_Rates!$F$15)))</f>
        <v/>
      </c>
      <c r="G104" s="81" t="str">
        <f ca="1">IF(B104="","",IF($B$2="Salary Points 1 to 57","-",IF(SUMIF(Grades!$A:$A,$B$2,Grades!$BP:$BP)=0,"-",IF(AND(OR($B$2="New Consultant Contract"),$B104&lt;&gt;""),$C104*Thresholds_Rates!$F$16,IF(AND(OR($B$2="Clinical Lecturer / Medical Research Fellow",$B$2="Clinical Consultant - Old Contract (GP)"),$B104&lt;&gt;""),$C104*Thresholds_Rates!$F$16,IF(AND(OR($B$2="APM Level 7",$B$2="R&amp;T Level 7"),F104&lt;&gt;""),$C104*Thresholds_Rates!$F$16,IF(SUMIF(Grades!$A:$A,$B$2,Grades!$BP:$BP)=1,$C104*Thresholds_Rates!$F$16,"")))))))</f>
        <v/>
      </c>
      <c r="H104" s="81" t="str">
        <f ca="1">IF(B104="","",IF(SUMIF(Grades!$A:$A,$B$2,Grades!$BQ:$BQ)=0,"-",IF(AND($B$2="Salary Points 1 to 57",B104&gt;Thresholds_Rates!$C$17),"-",IF(AND($B$2="Salary Points 1 to 57",B104&lt;=Thresholds_Rates!$C$17),$C104*Thresholds_Rates!$F$17,IF(AND(OR($B$2="New Consultant Contract"),$B104&lt;&gt;""),$C104*Thresholds_Rates!$F$17,IF(AND(OR($B$2="Clinical Lecturer / Medical Research Fellow",$B$2="Clinical Consultant - Old Contract (GP)"),$B104&lt;&gt;""),$C104*Thresholds_Rates!$F$17,IF(AND(OR($B$2="APM Level 7",$B$2="R&amp;T Level 7"),G104&lt;&gt;""),$C104*Thresholds_Rates!$F$17,IF(SUMIF(Grades!$A:$A,$B$2,Grades!$BQ:$BQ)=1,$C104*Thresholds_Rates!$F$17,""))))))))</f>
        <v/>
      </c>
      <c r="I104" s="81"/>
      <c r="J104" s="81" t="str">
        <f ca="1">IF(B104="","",(C104*Thresholds_Rates!$C$12))</f>
        <v/>
      </c>
      <c r="K104" s="81"/>
      <c r="L104" s="68"/>
      <c r="M104" s="81" t="str">
        <f t="shared" ca="1" si="6"/>
        <v/>
      </c>
      <c r="N104" s="81" t="str">
        <f t="shared" ca="1" si="7"/>
        <v/>
      </c>
      <c r="O104" s="81" t="str">
        <f t="shared" ca="1" si="8"/>
        <v/>
      </c>
      <c r="P104" s="81" t="str">
        <f t="shared" ca="1" si="9"/>
        <v/>
      </c>
      <c r="Q104" s="81" t="str">
        <f t="shared" ca="1" si="10"/>
        <v/>
      </c>
      <c r="R104" s="39"/>
      <c r="S104" s="83"/>
      <c r="T104" s="84"/>
      <c r="U104" s="83"/>
      <c r="V104" s="84"/>
      <c r="Z104" s="39"/>
      <c r="AA104" s="39"/>
      <c r="AB104" s="39"/>
      <c r="AC104" s="39"/>
      <c r="AD104" s="39"/>
      <c r="AE104" s="39"/>
      <c r="AF104" s="39"/>
      <c r="AO104" s="39"/>
      <c r="AP104" s="39"/>
      <c r="AQ104" s="39"/>
      <c r="AR104" s="39"/>
      <c r="AS104" s="39"/>
      <c r="AT104" s="39"/>
      <c r="AU104" s="39"/>
      <c r="AV104" s="39"/>
      <c r="AW104" s="39"/>
      <c r="AX104" s="39"/>
      <c r="AY104" s="39"/>
      <c r="AZ104" s="39"/>
      <c r="BA104" s="39"/>
      <c r="BB104" s="39"/>
      <c r="BC104" s="39"/>
    </row>
    <row r="105" spans="2:55" s="69" customFormat="1" x14ac:dyDescent="0.25">
      <c r="B105" s="68" t="str">
        <f ca="1">IFERROR(INDEX('Points Lookup'!$A:$A,MATCH($AA107,'Points Lookup'!$AN:$AN,0)),"")</f>
        <v/>
      </c>
      <c r="C105" s="81" t="str">
        <f ca="1">IF(B105="","",SUMIF(INDIRECT("'Points Lookup'!"&amp;VLOOKUP($B$2,Grades!A:BU,72,FALSE)&amp;":"&amp;VLOOKUP($B$2,Grades!A:BU,72,FALSE)),B105,INDIRECT("'Points Lookup'!"&amp;VLOOKUP($B$2,Grades!A:BU,73,FALSE)&amp;":"&amp;VLOOKUP($B$2,Grades!A:BU,73,FALSE))))</f>
        <v/>
      </c>
      <c r="D105" s="81"/>
      <c r="E105" s="81"/>
      <c r="F105" s="81" t="str">
        <f ca="1">IF($B105="","",IF(SUMIF(Grades!$A:$A,$B$2,Grades!$BO:$BO)=0,"-",IF(AND(VLOOKUP($B$2,Grades!$A:$BV,74,FALSE)="YES",B105&lt;Thresholds_Rates!$C$16),"-",$C105*Thresholds_Rates!$F$15)))</f>
        <v/>
      </c>
      <c r="G105" s="81" t="str">
        <f ca="1">IF(B105="","",IF($B$2="Salary Points 1 to 57","-",IF(SUMIF(Grades!$A:$A,$B$2,Grades!$BP:$BP)=0,"-",IF(AND(OR($B$2="New Consultant Contract"),$B105&lt;&gt;""),$C105*Thresholds_Rates!$F$16,IF(AND(OR($B$2="Clinical Lecturer / Medical Research Fellow",$B$2="Clinical Consultant - Old Contract (GP)"),$B105&lt;&gt;""),$C105*Thresholds_Rates!$F$16,IF(AND(OR($B$2="APM Level 7",$B$2="R&amp;T Level 7"),F105&lt;&gt;""),$C105*Thresholds_Rates!$F$16,IF(SUMIF(Grades!$A:$A,$B$2,Grades!$BP:$BP)=1,$C105*Thresholds_Rates!$F$16,"")))))))</f>
        <v/>
      </c>
      <c r="H105" s="81" t="str">
        <f ca="1">IF(B105="","",IF(SUMIF(Grades!$A:$A,$B$2,Grades!$BQ:$BQ)=0,"-",IF(AND($B$2="Salary Points 1 to 57",B105&gt;Thresholds_Rates!$C$17),"-",IF(AND($B$2="Salary Points 1 to 57",B105&lt;=Thresholds_Rates!$C$17),$C105*Thresholds_Rates!$F$17,IF(AND(OR($B$2="New Consultant Contract"),$B105&lt;&gt;""),$C105*Thresholds_Rates!$F$17,IF(AND(OR($B$2="Clinical Lecturer / Medical Research Fellow",$B$2="Clinical Consultant - Old Contract (GP)"),$B105&lt;&gt;""),$C105*Thresholds_Rates!$F$17,IF(AND(OR($B$2="APM Level 7",$B$2="R&amp;T Level 7"),G105&lt;&gt;""),$C105*Thresholds_Rates!$F$17,IF(SUMIF(Grades!$A:$A,$B$2,Grades!$BQ:$BQ)=1,$C105*Thresholds_Rates!$F$17,""))))))))</f>
        <v/>
      </c>
      <c r="I105" s="81"/>
      <c r="J105" s="81" t="str">
        <f ca="1">IF(B105="","",(C105*Thresholds_Rates!$C$12))</f>
        <v/>
      </c>
      <c r="K105" s="81"/>
      <c r="L105" s="68"/>
      <c r="M105" s="81" t="str">
        <f t="shared" ca="1" si="6"/>
        <v/>
      </c>
      <c r="N105" s="81" t="str">
        <f t="shared" ca="1" si="7"/>
        <v/>
      </c>
      <c r="O105" s="81" t="str">
        <f t="shared" ca="1" si="8"/>
        <v/>
      </c>
      <c r="P105" s="81" t="str">
        <f t="shared" ca="1" si="9"/>
        <v/>
      </c>
      <c r="Q105" s="81" t="str">
        <f t="shared" ca="1" si="10"/>
        <v/>
      </c>
      <c r="R105" s="39"/>
      <c r="S105" s="83"/>
      <c r="T105" s="84"/>
      <c r="U105" s="83"/>
      <c r="V105" s="84"/>
      <c r="Z105" s="39"/>
      <c r="AA105" s="39"/>
      <c r="AB105" s="39"/>
      <c r="AC105" s="39"/>
      <c r="AD105" s="39"/>
      <c r="AE105" s="39"/>
      <c r="AF105" s="39"/>
      <c r="AO105" s="39"/>
      <c r="AP105" s="39"/>
      <c r="AQ105" s="39"/>
      <c r="AR105" s="39"/>
      <c r="AS105" s="39"/>
      <c r="AT105" s="39"/>
      <c r="AU105" s="39"/>
      <c r="AV105" s="39"/>
      <c r="AW105" s="39"/>
      <c r="AX105" s="39"/>
      <c r="AY105" s="39"/>
      <c r="AZ105" s="39"/>
      <c r="BA105" s="39"/>
      <c r="BB105" s="39"/>
      <c r="BC105" s="39"/>
    </row>
    <row r="106" spans="2:55" s="69" customFormat="1" x14ac:dyDescent="0.25">
      <c r="B106" s="68" t="str">
        <f ca="1">IFERROR(INDEX('Points Lookup'!$A:$A,MATCH($AA108,'Points Lookup'!$AN:$AN,0)),"")</f>
        <v/>
      </c>
      <c r="C106" s="81" t="str">
        <f ca="1">IF(B106="","",SUMIF(INDIRECT("'Points Lookup'!"&amp;VLOOKUP($B$2,Grades!A:BU,72,FALSE)&amp;":"&amp;VLOOKUP($B$2,Grades!A:BU,72,FALSE)),B106,INDIRECT("'Points Lookup'!"&amp;VLOOKUP($B$2,Grades!A:BU,73,FALSE)&amp;":"&amp;VLOOKUP($B$2,Grades!A:BU,73,FALSE))))</f>
        <v/>
      </c>
      <c r="D106" s="81"/>
      <c r="E106" s="81"/>
      <c r="F106" s="81" t="str">
        <f ca="1">IF($B106="","",IF(SUMIF(Grades!$A:$A,$B$2,Grades!$BO:$BO)=0,"-",IF(AND(VLOOKUP($B$2,Grades!$A:$BV,74,FALSE)="YES",B106&lt;Thresholds_Rates!$C$16),"-",$C106*Thresholds_Rates!$F$15)))</f>
        <v/>
      </c>
      <c r="G106" s="81" t="str">
        <f ca="1">IF(B106="","",IF($B$2="Salary Points 1 to 57","-",IF(SUMIF(Grades!$A:$A,$B$2,Grades!$BP:$BP)=0,"-",IF(AND(OR($B$2="New Consultant Contract"),$B106&lt;&gt;""),$C106*Thresholds_Rates!$F$16,IF(AND(OR($B$2="Clinical Lecturer / Medical Research Fellow",$B$2="Clinical Consultant - Old Contract (GP)"),$B106&lt;&gt;""),$C106*Thresholds_Rates!$F$16,IF(AND(OR($B$2="APM Level 7",$B$2="R&amp;T Level 7"),F106&lt;&gt;""),$C106*Thresholds_Rates!$F$16,IF(SUMIF(Grades!$A:$A,$B$2,Grades!$BP:$BP)=1,$C106*Thresholds_Rates!$F$16,"")))))))</f>
        <v/>
      </c>
      <c r="H106" s="81" t="str">
        <f ca="1">IF(B106="","",IF(SUMIF(Grades!$A:$A,$B$2,Grades!$BQ:$BQ)=0,"-",IF(AND($B$2="Salary Points 1 to 57",B106&gt;Thresholds_Rates!$C$17),"-",IF(AND($B$2="Salary Points 1 to 57",B106&lt;=Thresholds_Rates!$C$17),$C106*Thresholds_Rates!$F$17,IF(AND(OR($B$2="New Consultant Contract"),$B106&lt;&gt;""),$C106*Thresholds_Rates!$F$17,IF(AND(OR($B$2="Clinical Lecturer / Medical Research Fellow",$B$2="Clinical Consultant - Old Contract (GP)"),$B106&lt;&gt;""),$C106*Thresholds_Rates!$F$17,IF(AND(OR($B$2="APM Level 7",$B$2="R&amp;T Level 7"),G106&lt;&gt;""),$C106*Thresholds_Rates!$F$17,IF(SUMIF(Grades!$A:$A,$B$2,Grades!$BQ:$BQ)=1,$C106*Thresholds_Rates!$F$17,""))))))))</f>
        <v/>
      </c>
      <c r="I106" s="81"/>
      <c r="J106" s="81" t="str">
        <f ca="1">IF(B106="","",(C106*Thresholds_Rates!$C$12))</f>
        <v/>
      </c>
      <c r="K106" s="81"/>
      <c r="L106" s="68"/>
      <c r="M106" s="81" t="str">
        <f t="shared" ca="1" si="6"/>
        <v/>
      </c>
      <c r="N106" s="81" t="str">
        <f t="shared" ca="1" si="7"/>
        <v/>
      </c>
      <c r="O106" s="81" t="str">
        <f t="shared" ca="1" si="8"/>
        <v/>
      </c>
      <c r="P106" s="81" t="str">
        <f t="shared" ca="1" si="9"/>
        <v/>
      </c>
      <c r="Q106" s="81" t="str">
        <f t="shared" ca="1" si="10"/>
        <v/>
      </c>
      <c r="R106" s="39"/>
      <c r="S106" s="83"/>
      <c r="T106" s="84"/>
      <c r="U106" s="83"/>
      <c r="V106" s="84"/>
      <c r="Z106" s="39"/>
      <c r="AA106" s="39"/>
      <c r="AB106" s="39"/>
      <c r="AC106" s="39"/>
      <c r="AD106" s="39"/>
      <c r="AE106" s="39"/>
      <c r="AF106" s="39"/>
      <c r="AO106" s="39"/>
      <c r="AP106" s="39"/>
      <c r="AQ106" s="39"/>
      <c r="AR106" s="39"/>
      <c r="AS106" s="39"/>
      <c r="AT106" s="39"/>
      <c r="AU106" s="39"/>
      <c r="AV106" s="39"/>
      <c r="AW106" s="39"/>
      <c r="AX106" s="39"/>
      <c r="AY106" s="39"/>
      <c r="AZ106" s="39"/>
      <c r="BA106" s="39"/>
      <c r="BB106" s="39"/>
      <c r="BC106" s="39"/>
    </row>
    <row r="107" spans="2:55" s="69" customFormat="1" x14ac:dyDescent="0.25">
      <c r="B107" s="68" t="str">
        <f ca="1">IFERROR(INDEX('Points Lookup'!$A:$A,MATCH($AA109,'Points Lookup'!$AN:$AN,0)),"")</f>
        <v/>
      </c>
      <c r="C107" s="81" t="str">
        <f ca="1">IF(B107="","",SUMIF(INDIRECT("'Points Lookup'!"&amp;VLOOKUP($B$2,Grades!A:BU,72,FALSE)&amp;":"&amp;VLOOKUP($B$2,Grades!A:BU,72,FALSE)),B107,INDIRECT("'Points Lookup'!"&amp;VLOOKUP($B$2,Grades!A:BU,73,FALSE)&amp;":"&amp;VLOOKUP($B$2,Grades!A:BU,73,FALSE))))</f>
        <v/>
      </c>
      <c r="D107" s="81"/>
      <c r="E107" s="81"/>
      <c r="F107" s="81" t="str">
        <f ca="1">IF($B107="","",IF(SUMIF(Grades!$A:$A,$B$2,Grades!$BO:$BO)=0,"-",IF(AND(VLOOKUP($B$2,Grades!$A:$BV,74,FALSE)="YES",B107&lt;Thresholds_Rates!$C$16),"-",$C107*Thresholds_Rates!$F$15)))</f>
        <v/>
      </c>
      <c r="G107" s="81" t="str">
        <f ca="1">IF(B107="","",IF($B$2="Salary Points 1 to 57","-",IF(SUMIF(Grades!$A:$A,$B$2,Grades!$BP:$BP)=0,"-",IF(AND(OR($B$2="New Consultant Contract"),$B107&lt;&gt;""),$C107*Thresholds_Rates!$F$16,IF(AND(OR($B$2="Clinical Lecturer / Medical Research Fellow",$B$2="Clinical Consultant - Old Contract (GP)"),$B107&lt;&gt;""),$C107*Thresholds_Rates!$F$16,IF(AND(OR($B$2="APM Level 7",$B$2="R&amp;T Level 7"),F107&lt;&gt;""),$C107*Thresholds_Rates!$F$16,IF(SUMIF(Grades!$A:$A,$B$2,Grades!$BP:$BP)=1,$C107*Thresholds_Rates!$F$16,"")))))))</f>
        <v/>
      </c>
      <c r="H107" s="81" t="str">
        <f ca="1">IF(B107="","",IF(SUMIF(Grades!$A:$A,$B$2,Grades!$BQ:$BQ)=0,"-",IF(AND($B$2="Salary Points 1 to 57",B107&gt;Thresholds_Rates!$C$17),"-",IF(AND($B$2="Salary Points 1 to 57",B107&lt;=Thresholds_Rates!$C$17),$C107*Thresholds_Rates!$F$17,IF(AND(OR($B$2="New Consultant Contract"),$B107&lt;&gt;""),$C107*Thresholds_Rates!$F$17,IF(AND(OR($B$2="Clinical Lecturer / Medical Research Fellow",$B$2="Clinical Consultant - Old Contract (GP)"),$B107&lt;&gt;""),$C107*Thresholds_Rates!$F$17,IF(AND(OR($B$2="APM Level 7",$B$2="R&amp;T Level 7"),G107&lt;&gt;""),$C107*Thresholds_Rates!$F$17,IF(SUMIF(Grades!$A:$A,$B$2,Grades!$BQ:$BQ)=1,$C107*Thresholds_Rates!$F$17,""))))))))</f>
        <v/>
      </c>
      <c r="I107" s="81"/>
      <c r="J107" s="81" t="str">
        <f ca="1">IF(B107="","",(C107*Thresholds_Rates!$C$12))</f>
        <v/>
      </c>
      <c r="K107" s="81"/>
      <c r="L107" s="68"/>
      <c r="M107" s="81" t="str">
        <f t="shared" ca="1" si="6"/>
        <v/>
      </c>
      <c r="N107" s="81" t="str">
        <f t="shared" ca="1" si="7"/>
        <v/>
      </c>
      <c r="O107" s="81" t="str">
        <f t="shared" ca="1" si="8"/>
        <v/>
      </c>
      <c r="P107" s="81" t="str">
        <f t="shared" ca="1" si="9"/>
        <v/>
      </c>
      <c r="Q107" s="81" t="str">
        <f t="shared" ca="1" si="10"/>
        <v/>
      </c>
      <c r="R107" s="39"/>
      <c r="S107" s="83"/>
      <c r="T107" s="84"/>
      <c r="U107" s="83"/>
      <c r="V107" s="84"/>
      <c r="Z107" s="39"/>
      <c r="AA107" s="39"/>
      <c r="AB107" s="39"/>
      <c r="AC107" s="39"/>
      <c r="AD107" s="39"/>
      <c r="AE107" s="39"/>
      <c r="AF107" s="39"/>
      <c r="AO107" s="39"/>
      <c r="AP107" s="39"/>
      <c r="AQ107" s="39"/>
      <c r="AR107" s="39"/>
      <c r="AS107" s="39"/>
      <c r="AT107" s="39"/>
      <c r="AU107" s="39"/>
      <c r="AV107" s="39"/>
      <c r="AW107" s="39"/>
      <c r="AX107" s="39"/>
      <c r="AY107" s="39"/>
      <c r="AZ107" s="39"/>
      <c r="BA107" s="39"/>
      <c r="BB107" s="39"/>
      <c r="BC107" s="39"/>
    </row>
    <row r="108" spans="2:55" s="69" customFormat="1" x14ac:dyDescent="0.25">
      <c r="B108" s="68" t="str">
        <f ca="1">IFERROR(INDEX('Points Lookup'!$A:$A,MATCH($AA110,'Points Lookup'!$AN:$AN,0)),"")</f>
        <v/>
      </c>
      <c r="C108" s="81" t="str">
        <f ca="1">IF(B108="","",SUMIF(INDIRECT("'Points Lookup'!"&amp;VLOOKUP($B$2,Grades!A:BU,72,FALSE)&amp;":"&amp;VLOOKUP($B$2,Grades!A:BU,72,FALSE)),B108,INDIRECT("'Points Lookup'!"&amp;VLOOKUP($B$2,Grades!A:BU,73,FALSE)&amp;":"&amp;VLOOKUP($B$2,Grades!A:BU,73,FALSE))))</f>
        <v/>
      </c>
      <c r="D108" s="81"/>
      <c r="E108" s="81"/>
      <c r="F108" s="81" t="str">
        <f ca="1">IF($B108="","",IF(SUMIF(Grades!$A:$A,$B$2,Grades!$BO:$BO)=0,"-",IF(AND(VLOOKUP($B$2,Grades!$A:$BV,74,FALSE)="YES",B108&lt;Thresholds_Rates!$C$16),"-",$C108*Thresholds_Rates!$F$15)))</f>
        <v/>
      </c>
      <c r="G108" s="81" t="str">
        <f ca="1">IF(B108="","",IF($B$2="Salary Points 1 to 57","-",IF(SUMIF(Grades!$A:$A,$B$2,Grades!$BP:$BP)=0,"-",IF(AND(OR($B$2="New Consultant Contract"),$B108&lt;&gt;""),$C108*Thresholds_Rates!$F$16,IF(AND(OR($B$2="Clinical Lecturer / Medical Research Fellow",$B$2="Clinical Consultant - Old Contract (GP)"),$B108&lt;&gt;""),$C108*Thresholds_Rates!$F$16,IF(AND(OR($B$2="APM Level 7",$B$2="R&amp;T Level 7"),F108&lt;&gt;""),$C108*Thresholds_Rates!$F$16,IF(SUMIF(Grades!$A:$A,$B$2,Grades!$BP:$BP)=1,$C108*Thresholds_Rates!$F$16,"")))))))</f>
        <v/>
      </c>
      <c r="H108" s="81" t="str">
        <f ca="1">IF(B108="","",IF(SUMIF(Grades!$A:$A,$B$2,Grades!$BQ:$BQ)=0,"-",IF(AND($B$2="Salary Points 1 to 57",B108&gt;Thresholds_Rates!$C$17),"-",IF(AND($B$2="Salary Points 1 to 57",B108&lt;=Thresholds_Rates!$C$17),$C108*Thresholds_Rates!$F$17,IF(AND(OR($B$2="New Consultant Contract"),$B108&lt;&gt;""),$C108*Thresholds_Rates!$F$17,IF(AND(OR($B$2="Clinical Lecturer / Medical Research Fellow",$B$2="Clinical Consultant - Old Contract (GP)"),$B108&lt;&gt;""),$C108*Thresholds_Rates!$F$17,IF(AND(OR($B$2="APM Level 7",$B$2="R&amp;T Level 7"),G108&lt;&gt;""),$C108*Thresholds_Rates!$F$17,IF(SUMIF(Grades!$A:$A,$B$2,Grades!$BQ:$BQ)=1,$C108*Thresholds_Rates!$F$17,""))))))))</f>
        <v/>
      </c>
      <c r="I108" s="81"/>
      <c r="J108" s="81" t="str">
        <f ca="1">IF(B108="","",(C108*Thresholds_Rates!$C$12))</f>
        <v/>
      </c>
      <c r="K108" s="81"/>
      <c r="L108" s="68"/>
      <c r="M108" s="81" t="str">
        <f t="shared" ca="1" si="6"/>
        <v/>
      </c>
      <c r="N108" s="81" t="str">
        <f t="shared" ca="1" si="7"/>
        <v/>
      </c>
      <c r="O108" s="81" t="str">
        <f t="shared" ca="1" si="8"/>
        <v/>
      </c>
      <c r="P108" s="81" t="str">
        <f t="shared" ca="1" si="9"/>
        <v/>
      </c>
      <c r="Q108" s="81" t="str">
        <f t="shared" ca="1" si="10"/>
        <v/>
      </c>
      <c r="R108" s="39"/>
      <c r="S108" s="83"/>
      <c r="T108" s="84"/>
      <c r="U108" s="83"/>
      <c r="V108" s="84"/>
      <c r="Z108" s="39"/>
      <c r="AA108" s="39"/>
      <c r="AB108" s="39"/>
      <c r="AC108" s="39"/>
      <c r="AD108" s="39"/>
      <c r="AE108" s="39"/>
      <c r="AF108" s="39"/>
      <c r="AO108" s="39"/>
      <c r="AP108" s="39"/>
      <c r="AQ108" s="39"/>
      <c r="AR108" s="39"/>
      <c r="AS108" s="39"/>
      <c r="AT108" s="39"/>
      <c r="AU108" s="39"/>
      <c r="AV108" s="39"/>
      <c r="AW108" s="39"/>
      <c r="AX108" s="39"/>
      <c r="AY108" s="39"/>
      <c r="AZ108" s="39"/>
      <c r="BA108" s="39"/>
      <c r="BB108" s="39"/>
      <c r="BC108" s="39"/>
    </row>
    <row r="109" spans="2:55" s="69" customFormat="1" x14ac:dyDescent="0.25">
      <c r="B109" s="68" t="str">
        <f ca="1">IFERROR(INDEX('Points Lookup'!$A:$A,MATCH($AA111,'Points Lookup'!$AN:$AN,0)),"")</f>
        <v/>
      </c>
      <c r="C109" s="81" t="str">
        <f ca="1">IF(B109="","",SUMIF(INDIRECT("'Points Lookup'!"&amp;VLOOKUP($B$2,Grades!A:BU,72,FALSE)&amp;":"&amp;VLOOKUP($B$2,Grades!A:BU,72,FALSE)),B109,INDIRECT("'Points Lookup'!"&amp;VLOOKUP($B$2,Grades!A:BU,73,FALSE)&amp;":"&amp;VLOOKUP($B$2,Grades!A:BU,73,FALSE))))</f>
        <v/>
      </c>
      <c r="D109" s="81"/>
      <c r="E109" s="81"/>
      <c r="F109" s="81" t="str">
        <f ca="1">IF($B109="","",IF(SUMIF(Grades!$A:$A,$B$2,Grades!$BO:$BO)=0,"-",IF(AND(VLOOKUP($B$2,Grades!$A:$BV,74,FALSE)="YES",B109&lt;Thresholds_Rates!$C$16),"-",$C109*Thresholds_Rates!$F$15)))</f>
        <v/>
      </c>
      <c r="G109" s="81" t="str">
        <f ca="1">IF(B109="","",IF($B$2="Salary Points 1 to 57","-",IF(SUMIF(Grades!$A:$A,$B$2,Grades!$BP:$BP)=0,"-",IF(AND(OR($B$2="New Consultant Contract"),$B109&lt;&gt;""),$C109*Thresholds_Rates!$F$16,IF(AND(OR($B$2="Clinical Lecturer / Medical Research Fellow",$B$2="Clinical Consultant - Old Contract (GP)"),$B109&lt;&gt;""),$C109*Thresholds_Rates!$F$16,IF(AND(OR($B$2="APM Level 7",$B$2="R&amp;T Level 7"),F109&lt;&gt;""),$C109*Thresholds_Rates!$F$16,IF(SUMIF(Grades!$A:$A,$B$2,Grades!$BP:$BP)=1,$C109*Thresholds_Rates!$F$16,"")))))))</f>
        <v/>
      </c>
      <c r="H109" s="81" t="str">
        <f ca="1">IF(B109="","",IF(SUMIF(Grades!$A:$A,$B$2,Grades!$BQ:$BQ)=0,"-",IF(AND($B$2="Salary Points 1 to 57",B109&gt;Thresholds_Rates!$C$17),"-",IF(AND($B$2="Salary Points 1 to 57",B109&lt;=Thresholds_Rates!$C$17),$C109*Thresholds_Rates!$F$17,IF(AND(OR($B$2="New Consultant Contract"),$B109&lt;&gt;""),$C109*Thresholds_Rates!$F$17,IF(AND(OR($B$2="Clinical Lecturer / Medical Research Fellow",$B$2="Clinical Consultant - Old Contract (GP)"),$B109&lt;&gt;""),$C109*Thresholds_Rates!$F$17,IF(AND(OR($B$2="APM Level 7",$B$2="R&amp;T Level 7"),G109&lt;&gt;""),$C109*Thresholds_Rates!$F$17,IF(SUMIF(Grades!$A:$A,$B$2,Grades!$BQ:$BQ)=1,$C109*Thresholds_Rates!$F$17,""))))))))</f>
        <v/>
      </c>
      <c r="I109" s="81"/>
      <c r="J109" s="81" t="str">
        <f ca="1">IF(B109="","",(C109*Thresholds_Rates!$C$12))</f>
        <v/>
      </c>
      <c r="K109" s="81"/>
      <c r="L109" s="68"/>
      <c r="M109" s="81" t="str">
        <f t="shared" ca="1" si="6"/>
        <v/>
      </c>
      <c r="N109" s="81" t="str">
        <f t="shared" ca="1" si="7"/>
        <v/>
      </c>
      <c r="O109" s="81" t="str">
        <f t="shared" ca="1" si="8"/>
        <v/>
      </c>
      <c r="P109" s="81" t="str">
        <f t="shared" ca="1" si="9"/>
        <v/>
      </c>
      <c r="Q109" s="81" t="str">
        <f t="shared" ca="1" si="10"/>
        <v/>
      </c>
      <c r="R109" s="39"/>
      <c r="S109" s="83"/>
      <c r="T109" s="84"/>
      <c r="U109" s="83"/>
      <c r="V109" s="84"/>
      <c r="Z109" s="39"/>
      <c r="AA109" s="39"/>
      <c r="AB109" s="39"/>
      <c r="AC109" s="39"/>
      <c r="AD109" s="39"/>
      <c r="AE109" s="39"/>
      <c r="AF109" s="39"/>
      <c r="AO109" s="39"/>
      <c r="AP109" s="39"/>
      <c r="AQ109" s="39"/>
      <c r="AR109" s="39"/>
      <c r="AS109" s="39"/>
      <c r="AT109" s="39"/>
      <c r="AU109" s="39"/>
      <c r="AV109" s="39"/>
      <c r="AW109" s="39"/>
      <c r="AX109" s="39"/>
      <c r="AY109" s="39"/>
      <c r="AZ109" s="39"/>
      <c r="BA109" s="39"/>
      <c r="BB109" s="39"/>
      <c r="BC109" s="39"/>
    </row>
    <row r="110" spans="2:55" s="69" customFormat="1" x14ac:dyDescent="0.25">
      <c r="B110" s="68" t="str">
        <f ca="1">IFERROR(INDEX('Points Lookup'!$A:$A,MATCH($AA112,'Points Lookup'!$AN:$AN,0)),"")</f>
        <v/>
      </c>
      <c r="C110" s="81" t="str">
        <f ca="1">IF(B110="","",SUMIF(INDIRECT("'Points Lookup'!"&amp;VLOOKUP($B$2,Grades!A:BU,72,FALSE)&amp;":"&amp;VLOOKUP($B$2,Grades!A:BU,72,FALSE)),B110,INDIRECT("'Points Lookup'!"&amp;VLOOKUP($B$2,Grades!A:BU,73,FALSE)&amp;":"&amp;VLOOKUP($B$2,Grades!A:BU,73,FALSE))))</f>
        <v/>
      </c>
      <c r="D110" s="81"/>
      <c r="E110" s="81"/>
      <c r="F110" s="81" t="str">
        <f ca="1">IF($B110="","",IF(SUMIF(Grades!$A:$A,$B$2,Grades!$BO:$BO)=0,"-",IF(AND(VLOOKUP($B$2,Grades!$A:$BV,74,FALSE)="YES",B110&lt;Thresholds_Rates!$C$16),"-",$C110*Thresholds_Rates!$F$15)))</f>
        <v/>
      </c>
      <c r="G110" s="81" t="str">
        <f ca="1">IF(B110="","",IF($B$2="Salary Points 1 to 57","-",IF(SUMIF(Grades!$A:$A,$B$2,Grades!$BP:$BP)=0,"-",IF(AND(OR($B$2="New Consultant Contract"),$B110&lt;&gt;""),$C110*Thresholds_Rates!$F$16,IF(AND(OR($B$2="Clinical Lecturer / Medical Research Fellow",$B$2="Clinical Consultant - Old Contract (GP)"),$B110&lt;&gt;""),$C110*Thresholds_Rates!$F$16,IF(AND(OR($B$2="APM Level 7",$B$2="R&amp;T Level 7"),F110&lt;&gt;""),$C110*Thresholds_Rates!$F$16,IF(SUMIF(Grades!$A:$A,$B$2,Grades!$BP:$BP)=1,$C110*Thresholds_Rates!$F$16,"")))))))</f>
        <v/>
      </c>
      <c r="H110" s="81" t="str">
        <f ca="1">IF(B110="","",IF(SUMIF(Grades!$A:$A,$B$2,Grades!$BQ:$BQ)=0,"-",IF(AND($B$2="Salary Points 1 to 57",B110&gt;Thresholds_Rates!$C$17),"-",IF(AND($B$2="Salary Points 1 to 57",B110&lt;=Thresholds_Rates!$C$17),$C110*Thresholds_Rates!$F$17,IF(AND(OR($B$2="New Consultant Contract"),$B110&lt;&gt;""),$C110*Thresholds_Rates!$F$17,IF(AND(OR($B$2="Clinical Lecturer / Medical Research Fellow",$B$2="Clinical Consultant - Old Contract (GP)"),$B110&lt;&gt;""),$C110*Thresholds_Rates!$F$17,IF(AND(OR($B$2="APM Level 7",$B$2="R&amp;T Level 7"),G110&lt;&gt;""),$C110*Thresholds_Rates!$F$17,IF(SUMIF(Grades!$A:$A,$B$2,Grades!$BQ:$BQ)=1,$C110*Thresholds_Rates!$F$17,""))))))))</f>
        <v/>
      </c>
      <c r="I110" s="81"/>
      <c r="J110" s="81" t="str">
        <f ca="1">IF(B110="","",(C110*Thresholds_Rates!$C$12))</f>
        <v/>
      </c>
      <c r="K110" s="81"/>
      <c r="L110" s="68"/>
      <c r="M110" s="81" t="str">
        <f t="shared" ca="1" si="6"/>
        <v/>
      </c>
      <c r="N110" s="81" t="str">
        <f t="shared" ca="1" si="7"/>
        <v/>
      </c>
      <c r="O110" s="81" t="str">
        <f t="shared" ca="1" si="8"/>
        <v/>
      </c>
      <c r="P110" s="81" t="str">
        <f t="shared" ca="1" si="9"/>
        <v/>
      </c>
      <c r="Q110" s="81" t="str">
        <f t="shared" ca="1" si="10"/>
        <v/>
      </c>
      <c r="R110" s="39"/>
      <c r="S110" s="83"/>
      <c r="T110" s="84"/>
      <c r="U110" s="83"/>
      <c r="V110" s="84"/>
      <c r="Z110" s="39"/>
      <c r="AA110" s="39"/>
      <c r="AB110" s="39"/>
      <c r="AC110" s="39"/>
      <c r="AD110" s="39"/>
      <c r="AE110" s="39"/>
      <c r="AF110" s="39"/>
      <c r="AO110" s="39"/>
      <c r="AP110" s="39"/>
      <c r="AQ110" s="39"/>
      <c r="AR110" s="39"/>
      <c r="AS110" s="39"/>
      <c r="AT110" s="39"/>
      <c r="AU110" s="39"/>
      <c r="AV110" s="39"/>
      <c r="AW110" s="39"/>
      <c r="AX110" s="39"/>
      <c r="AY110" s="39"/>
      <c r="AZ110" s="39"/>
      <c r="BA110" s="39"/>
      <c r="BB110" s="39"/>
      <c r="BC110" s="39"/>
    </row>
    <row r="111" spans="2:55" s="69" customFormat="1" x14ac:dyDescent="0.25">
      <c r="B111" s="68" t="str">
        <f ca="1">IFERROR(INDEX('Points Lookup'!$A:$A,MATCH($AA113,'Points Lookup'!$AN:$AN,0)),"")</f>
        <v/>
      </c>
      <c r="C111" s="81" t="str">
        <f ca="1">IF(B111="","",SUMIF(INDIRECT("'Points Lookup'!"&amp;VLOOKUP($B$2,Grades!A:BU,72,FALSE)&amp;":"&amp;VLOOKUP($B$2,Grades!A:BU,72,FALSE)),B111,INDIRECT("'Points Lookup'!"&amp;VLOOKUP($B$2,Grades!A:BU,73,FALSE)&amp;":"&amp;VLOOKUP($B$2,Grades!A:BU,73,FALSE))))</f>
        <v/>
      </c>
      <c r="D111" s="81"/>
      <c r="E111" s="81"/>
      <c r="F111" s="81" t="str">
        <f ca="1">IF($B111="","",IF(SUMIF(Grades!$A:$A,$B$2,Grades!$BO:$BO)=0,"-",IF(AND(VLOOKUP($B$2,Grades!$A:$BV,74,FALSE)="YES",B111&lt;Thresholds_Rates!$C$16),"-",$C111*Thresholds_Rates!$F$15)))</f>
        <v/>
      </c>
      <c r="G111" s="81" t="str">
        <f ca="1">IF(B111="","",IF($B$2="Salary Points 1 to 57","-",IF(SUMIF(Grades!$A:$A,$B$2,Grades!$BP:$BP)=0,"-",IF(AND(OR($B$2="New Consultant Contract"),$B111&lt;&gt;""),$C111*Thresholds_Rates!$F$16,IF(AND(OR($B$2="Clinical Lecturer / Medical Research Fellow",$B$2="Clinical Consultant - Old Contract (GP)"),$B111&lt;&gt;""),$C111*Thresholds_Rates!$F$16,IF(AND(OR($B$2="APM Level 7",$B$2="R&amp;T Level 7"),F111&lt;&gt;""),$C111*Thresholds_Rates!$F$16,IF(SUMIF(Grades!$A:$A,$B$2,Grades!$BP:$BP)=1,$C111*Thresholds_Rates!$F$16,"")))))))</f>
        <v/>
      </c>
      <c r="H111" s="81" t="str">
        <f ca="1">IF(B111="","",IF(SUMIF(Grades!$A:$A,$B$2,Grades!$BQ:$BQ)=0,"-",IF(AND($B$2="Salary Points 1 to 57",B111&gt;Thresholds_Rates!$C$17),"-",IF(AND($B$2="Salary Points 1 to 57",B111&lt;=Thresholds_Rates!$C$17),$C111*Thresholds_Rates!$F$17,IF(AND(OR($B$2="New Consultant Contract"),$B111&lt;&gt;""),$C111*Thresholds_Rates!$F$17,IF(AND(OR($B$2="Clinical Lecturer / Medical Research Fellow",$B$2="Clinical Consultant - Old Contract (GP)"),$B111&lt;&gt;""),$C111*Thresholds_Rates!$F$17,IF(AND(OR($B$2="APM Level 7",$B$2="R&amp;T Level 7"),G111&lt;&gt;""),$C111*Thresholds_Rates!$F$17,IF(SUMIF(Grades!$A:$A,$B$2,Grades!$BQ:$BQ)=1,$C111*Thresholds_Rates!$F$17,""))))))))</f>
        <v/>
      </c>
      <c r="I111" s="81"/>
      <c r="J111" s="81" t="str">
        <f ca="1">IF(B111="","",(C111*Thresholds_Rates!$C$12))</f>
        <v/>
      </c>
      <c r="K111" s="81"/>
      <c r="L111" s="68"/>
      <c r="M111" s="81" t="str">
        <f t="shared" ca="1" si="6"/>
        <v/>
      </c>
      <c r="N111" s="81" t="str">
        <f t="shared" ca="1" si="7"/>
        <v/>
      </c>
      <c r="O111" s="81" t="str">
        <f t="shared" ca="1" si="8"/>
        <v/>
      </c>
      <c r="P111" s="81" t="str">
        <f t="shared" ca="1" si="9"/>
        <v/>
      </c>
      <c r="Q111" s="81" t="str">
        <f t="shared" ca="1" si="10"/>
        <v/>
      </c>
      <c r="R111" s="39"/>
      <c r="S111" s="83"/>
      <c r="T111" s="84"/>
      <c r="U111" s="83"/>
      <c r="V111" s="84"/>
      <c r="Z111" s="39"/>
      <c r="AA111" s="39"/>
      <c r="AB111" s="39"/>
      <c r="AC111" s="39"/>
      <c r="AD111" s="39"/>
      <c r="AE111" s="39"/>
      <c r="AF111" s="39"/>
      <c r="AO111" s="39"/>
      <c r="AP111" s="39"/>
      <c r="AQ111" s="39"/>
      <c r="AR111" s="39"/>
      <c r="AS111" s="39"/>
      <c r="AT111" s="39"/>
      <c r="AU111" s="39"/>
      <c r="AV111" s="39"/>
      <c r="AW111" s="39"/>
      <c r="AX111" s="39"/>
      <c r="AY111" s="39"/>
      <c r="AZ111" s="39"/>
      <c r="BA111" s="39"/>
      <c r="BB111" s="39"/>
      <c r="BC111" s="39"/>
    </row>
    <row r="112" spans="2:55" s="69" customFormat="1" x14ac:dyDescent="0.25">
      <c r="B112" s="68" t="str">
        <f ca="1">IFERROR(INDEX('Points Lookup'!$A:$A,MATCH($AA114,'Points Lookup'!$AN:$AN,0)),"")</f>
        <v/>
      </c>
      <c r="C112" s="81" t="str">
        <f ca="1">IF(B112="","",SUMIF(INDIRECT("'Points Lookup'!"&amp;VLOOKUP($B$2,Grades!A:BU,72,FALSE)&amp;":"&amp;VLOOKUP($B$2,Grades!A:BU,72,FALSE)),B112,INDIRECT("'Points Lookup'!"&amp;VLOOKUP($B$2,Grades!A:BU,73,FALSE)&amp;":"&amp;VLOOKUP($B$2,Grades!A:BU,73,FALSE))))</f>
        <v/>
      </c>
      <c r="D112" s="81"/>
      <c r="E112" s="81"/>
      <c r="F112" s="81" t="str">
        <f ca="1">IF($B112="","",IF(SUMIF(Grades!$A:$A,$B$2,Grades!$BO:$BO)=0,"-",IF(AND(VLOOKUP($B$2,Grades!$A:$BV,74,FALSE)="YES",B112&lt;Thresholds_Rates!$C$16),"-",$C112*Thresholds_Rates!$F$15)))</f>
        <v/>
      </c>
      <c r="G112" s="81" t="str">
        <f ca="1">IF(B112="","",IF($B$2="Salary Points 1 to 57","-",IF(SUMIF(Grades!$A:$A,$B$2,Grades!$BP:$BP)=0,"-",IF(AND(OR($B$2="New Consultant Contract"),$B112&lt;&gt;""),$C112*Thresholds_Rates!$F$16,IF(AND(OR($B$2="Clinical Lecturer / Medical Research Fellow",$B$2="Clinical Consultant - Old Contract (GP)"),$B112&lt;&gt;""),$C112*Thresholds_Rates!$F$16,IF(AND(OR($B$2="APM Level 7",$B$2="R&amp;T Level 7"),F112&lt;&gt;""),$C112*Thresholds_Rates!$F$16,IF(SUMIF(Grades!$A:$A,$B$2,Grades!$BP:$BP)=1,$C112*Thresholds_Rates!$F$16,"")))))))</f>
        <v/>
      </c>
      <c r="H112" s="81" t="str">
        <f ca="1">IF(B112="","",IF(SUMIF(Grades!$A:$A,$B$2,Grades!$BQ:$BQ)=0,"-",IF(AND($B$2="Salary Points 1 to 57",B112&gt;Thresholds_Rates!$C$17),"-",IF(AND($B$2="Salary Points 1 to 57",B112&lt;=Thresholds_Rates!$C$17),$C112*Thresholds_Rates!$F$17,IF(AND(OR($B$2="New Consultant Contract"),$B112&lt;&gt;""),$C112*Thresholds_Rates!$F$17,IF(AND(OR($B$2="Clinical Lecturer / Medical Research Fellow",$B$2="Clinical Consultant - Old Contract (GP)"),$B112&lt;&gt;""),$C112*Thresholds_Rates!$F$17,IF(AND(OR($B$2="APM Level 7",$B$2="R&amp;T Level 7"),G112&lt;&gt;""),$C112*Thresholds_Rates!$F$17,IF(SUMIF(Grades!$A:$A,$B$2,Grades!$BQ:$BQ)=1,$C112*Thresholds_Rates!$F$17,""))))))))</f>
        <v/>
      </c>
      <c r="I112" s="81"/>
      <c r="J112" s="81" t="str">
        <f ca="1">IF(B112="","",(C112*Thresholds_Rates!$C$12))</f>
        <v/>
      </c>
      <c r="K112" s="81"/>
      <c r="L112" s="68"/>
      <c r="M112" s="81" t="str">
        <f t="shared" ca="1" si="6"/>
        <v/>
      </c>
      <c r="N112" s="81" t="str">
        <f t="shared" ca="1" si="7"/>
        <v/>
      </c>
      <c r="O112" s="81" t="str">
        <f t="shared" ca="1" si="8"/>
        <v/>
      </c>
      <c r="P112" s="81" t="str">
        <f t="shared" ca="1" si="9"/>
        <v/>
      </c>
      <c r="Q112" s="81" t="str">
        <f t="shared" ca="1" si="10"/>
        <v/>
      </c>
      <c r="R112" s="39"/>
      <c r="S112" s="83"/>
      <c r="T112" s="84"/>
      <c r="U112" s="83"/>
      <c r="V112" s="84"/>
      <c r="Z112" s="39"/>
      <c r="AA112" s="39"/>
      <c r="AB112" s="39"/>
      <c r="AC112" s="39"/>
      <c r="AD112" s="39"/>
      <c r="AE112" s="39"/>
      <c r="AF112" s="39"/>
      <c r="AO112" s="39"/>
      <c r="AP112" s="39"/>
      <c r="AQ112" s="39"/>
      <c r="AR112" s="39"/>
      <c r="AS112" s="39"/>
      <c r="AT112" s="39"/>
      <c r="AU112" s="39"/>
      <c r="AV112" s="39"/>
      <c r="AW112" s="39"/>
      <c r="AX112" s="39"/>
      <c r="AY112" s="39"/>
      <c r="AZ112" s="39"/>
      <c r="BA112" s="39"/>
      <c r="BB112" s="39"/>
      <c r="BC112" s="39"/>
    </row>
    <row r="113" spans="2:55" s="69" customFormat="1" x14ac:dyDescent="0.25">
      <c r="B113" s="68" t="str">
        <f ca="1">IFERROR(INDEX('Points Lookup'!$A:$A,MATCH($AA115,'Points Lookup'!$AN:$AN,0)),"")</f>
        <v/>
      </c>
      <c r="C113" s="81" t="str">
        <f ca="1">IF(B113="","",SUMIF(INDIRECT("'Points Lookup'!"&amp;VLOOKUP($B$2,Grades!A:BU,72,FALSE)&amp;":"&amp;VLOOKUP($B$2,Grades!A:BU,72,FALSE)),B113,INDIRECT("'Points Lookup'!"&amp;VLOOKUP($B$2,Grades!A:BU,73,FALSE)&amp;":"&amp;VLOOKUP($B$2,Grades!A:BU,73,FALSE))))</f>
        <v/>
      </c>
      <c r="D113" s="81"/>
      <c r="E113" s="81"/>
      <c r="F113" s="81" t="str">
        <f ca="1">IF($B113="","",IF(SUMIF(Grades!$A:$A,$B$2,Grades!$BO:$BO)=0,"-",IF(AND(VLOOKUP($B$2,Grades!$A:$BV,74,FALSE)="YES",B113&lt;Thresholds_Rates!$C$16),"-",$C113*Thresholds_Rates!$F$15)))</f>
        <v/>
      </c>
      <c r="G113" s="81" t="str">
        <f ca="1">IF(B113="","",IF($B$2="Salary Points 1 to 57","-",IF(SUMIF(Grades!$A:$A,$B$2,Grades!$BP:$BP)=0,"-",IF(AND(OR($B$2="New Consultant Contract"),$B113&lt;&gt;""),$C113*Thresholds_Rates!$F$16,IF(AND(OR($B$2="Clinical Lecturer / Medical Research Fellow",$B$2="Clinical Consultant - Old Contract (GP)"),$B113&lt;&gt;""),$C113*Thresholds_Rates!$F$16,IF(AND(OR($B$2="APM Level 7",$B$2="R&amp;T Level 7"),F113&lt;&gt;""),$C113*Thresholds_Rates!$F$16,IF(SUMIF(Grades!$A:$A,$B$2,Grades!$BP:$BP)=1,$C113*Thresholds_Rates!$F$16,"")))))))</f>
        <v/>
      </c>
      <c r="H113" s="81" t="str">
        <f ca="1">IF(B113="","",IF(SUMIF(Grades!$A:$A,$B$2,Grades!$BQ:$BQ)=0,"-",IF(AND($B$2="Salary Points 1 to 57",B113&gt;Thresholds_Rates!$C$17),"-",IF(AND($B$2="Salary Points 1 to 57",B113&lt;=Thresholds_Rates!$C$17),$C113*Thresholds_Rates!$F$17,IF(AND(OR($B$2="New Consultant Contract"),$B113&lt;&gt;""),$C113*Thresholds_Rates!$F$17,IF(AND(OR($B$2="Clinical Lecturer / Medical Research Fellow",$B$2="Clinical Consultant - Old Contract (GP)"),$B113&lt;&gt;""),$C113*Thresholds_Rates!$F$17,IF(AND(OR($B$2="APM Level 7",$B$2="R&amp;T Level 7"),G113&lt;&gt;""),$C113*Thresholds_Rates!$F$17,IF(SUMIF(Grades!$A:$A,$B$2,Grades!$BQ:$BQ)=1,$C113*Thresholds_Rates!$F$17,""))))))))</f>
        <v/>
      </c>
      <c r="I113" s="81"/>
      <c r="J113" s="81" t="str">
        <f ca="1">IF(B113="","",(C113*Thresholds_Rates!$C$12))</f>
        <v/>
      </c>
      <c r="K113" s="81"/>
      <c r="L113" s="68"/>
      <c r="M113" s="81" t="str">
        <f t="shared" ca="1" si="6"/>
        <v/>
      </c>
      <c r="N113" s="81" t="str">
        <f t="shared" ca="1" si="7"/>
        <v/>
      </c>
      <c r="O113" s="81" t="str">
        <f t="shared" ca="1" si="8"/>
        <v/>
      </c>
      <c r="P113" s="81" t="str">
        <f t="shared" ca="1" si="9"/>
        <v/>
      </c>
      <c r="Q113" s="81" t="str">
        <f t="shared" ca="1" si="10"/>
        <v/>
      </c>
      <c r="R113" s="39"/>
      <c r="S113" s="83"/>
      <c r="T113" s="84"/>
      <c r="U113" s="83"/>
      <c r="V113" s="84"/>
      <c r="Z113" s="39"/>
      <c r="AA113" s="39"/>
      <c r="AB113" s="39"/>
      <c r="AC113" s="39"/>
      <c r="AD113" s="39"/>
      <c r="AE113" s="39"/>
      <c r="AF113" s="39"/>
      <c r="AO113" s="39"/>
      <c r="AP113" s="39"/>
      <c r="AQ113" s="39"/>
      <c r="AR113" s="39"/>
      <c r="AS113" s="39"/>
      <c r="AT113" s="39"/>
      <c r="AU113" s="39"/>
      <c r="AV113" s="39"/>
      <c r="AW113" s="39"/>
      <c r="AX113" s="39"/>
      <c r="AY113" s="39"/>
      <c r="AZ113" s="39"/>
      <c r="BA113" s="39"/>
      <c r="BB113" s="39"/>
      <c r="BC113" s="39"/>
    </row>
    <row r="114" spans="2:55" s="69" customFormat="1" x14ac:dyDescent="0.25">
      <c r="B114" s="68" t="str">
        <f ca="1">IFERROR(INDEX('Points Lookup'!$A:$A,MATCH($AA116,'Points Lookup'!$AN:$AN,0)),"")</f>
        <v/>
      </c>
      <c r="C114" s="81" t="str">
        <f ca="1">IF(B114="","",SUMIF(INDIRECT("'Points Lookup'!"&amp;VLOOKUP($B$2,Grades!A:BU,72,FALSE)&amp;":"&amp;VLOOKUP($B$2,Grades!A:BU,72,FALSE)),B114,INDIRECT("'Points Lookup'!"&amp;VLOOKUP($B$2,Grades!A:BU,73,FALSE)&amp;":"&amp;VLOOKUP($B$2,Grades!A:BU,73,FALSE))))</f>
        <v/>
      </c>
      <c r="D114" s="81"/>
      <c r="E114" s="81"/>
      <c r="F114" s="81" t="str">
        <f ca="1">IF($B114="","",IF(SUMIF(Grades!$A:$A,$B$2,Grades!$BO:$BO)=0,"-",IF(AND(VLOOKUP($B$2,Grades!$A:$BV,74,FALSE)="YES",B114&lt;Thresholds_Rates!$C$16),"-",$C114*Thresholds_Rates!$F$15)))</f>
        <v/>
      </c>
      <c r="G114" s="81" t="str">
        <f ca="1">IF(B114="","",IF($B$2="Salary Points 1 to 57","-",IF(SUMIF(Grades!$A:$A,$B$2,Grades!$BP:$BP)=0,"-",IF(AND(OR($B$2="New Consultant Contract"),$B114&lt;&gt;""),$C114*Thresholds_Rates!$F$16,IF(AND(OR($B$2="Clinical Lecturer / Medical Research Fellow",$B$2="Clinical Consultant - Old Contract (GP)"),$B114&lt;&gt;""),$C114*Thresholds_Rates!$F$16,IF(AND(OR($B$2="APM Level 7",$B$2="R&amp;T Level 7"),F114&lt;&gt;""),$C114*Thresholds_Rates!$F$16,IF(SUMIF(Grades!$A:$A,$B$2,Grades!$BP:$BP)=1,$C114*Thresholds_Rates!$F$16,"")))))))</f>
        <v/>
      </c>
      <c r="H114" s="81" t="str">
        <f ca="1">IF(B114="","",IF(SUMIF(Grades!$A:$A,$B$2,Grades!$BQ:$BQ)=0,"-",IF(AND($B$2="Salary Points 1 to 57",B114&gt;Thresholds_Rates!$C$17),"-",IF(AND($B$2="Salary Points 1 to 57",B114&lt;=Thresholds_Rates!$C$17),$C114*Thresholds_Rates!$F$17,IF(AND(OR($B$2="New Consultant Contract"),$B114&lt;&gt;""),$C114*Thresholds_Rates!$F$17,IF(AND(OR($B$2="Clinical Lecturer / Medical Research Fellow",$B$2="Clinical Consultant - Old Contract (GP)"),$B114&lt;&gt;""),$C114*Thresholds_Rates!$F$17,IF(AND(OR($B$2="APM Level 7",$B$2="R&amp;T Level 7"),G114&lt;&gt;""),$C114*Thresholds_Rates!$F$17,IF(SUMIF(Grades!$A:$A,$B$2,Grades!$BQ:$BQ)=1,$C114*Thresholds_Rates!$F$17,""))))))))</f>
        <v/>
      </c>
      <c r="I114" s="81"/>
      <c r="J114" s="81" t="str">
        <f ca="1">IF(B114="","",(C114*Thresholds_Rates!$C$12))</f>
        <v/>
      </c>
      <c r="K114" s="81"/>
      <c r="L114" s="68"/>
      <c r="M114" s="81" t="str">
        <f t="shared" ca="1" si="6"/>
        <v/>
      </c>
      <c r="N114" s="81" t="str">
        <f t="shared" ca="1" si="7"/>
        <v/>
      </c>
      <c r="O114" s="81" t="str">
        <f t="shared" ca="1" si="8"/>
        <v/>
      </c>
      <c r="P114" s="81" t="str">
        <f t="shared" ca="1" si="9"/>
        <v/>
      </c>
      <c r="Q114" s="81" t="str">
        <f t="shared" ca="1" si="10"/>
        <v/>
      </c>
      <c r="R114" s="39"/>
      <c r="S114" s="83"/>
      <c r="T114" s="84"/>
      <c r="U114" s="83"/>
      <c r="V114" s="84"/>
      <c r="Z114" s="39"/>
      <c r="AA114" s="39"/>
      <c r="AB114" s="39"/>
      <c r="AC114" s="39"/>
      <c r="AD114" s="39"/>
      <c r="AE114" s="39"/>
      <c r="AF114" s="39"/>
      <c r="AO114" s="39"/>
      <c r="AP114" s="39"/>
      <c r="AQ114" s="39"/>
      <c r="AR114" s="39"/>
      <c r="AS114" s="39"/>
      <c r="AT114" s="39"/>
      <c r="AU114" s="39"/>
      <c r="AV114" s="39"/>
      <c r="AW114" s="39"/>
      <c r="AX114" s="39"/>
      <c r="AY114" s="39"/>
      <c r="AZ114" s="39"/>
      <c r="BA114" s="39"/>
      <c r="BB114" s="39"/>
      <c r="BC114" s="39"/>
    </row>
    <row r="115" spans="2:55" s="69" customFormat="1" x14ac:dyDescent="0.25">
      <c r="B115" s="68" t="str">
        <f ca="1">IFERROR(INDEX('Points Lookup'!$A:$A,MATCH($AA117,'Points Lookup'!$AN:$AN,0)),"")</f>
        <v/>
      </c>
      <c r="C115" s="81" t="str">
        <f ca="1">IF(B115="","",SUMIF(INDIRECT("'Points Lookup'!"&amp;VLOOKUP($B$2,Grades!A:BU,72,FALSE)&amp;":"&amp;VLOOKUP($B$2,Grades!A:BU,72,FALSE)),B115,INDIRECT("'Points Lookup'!"&amp;VLOOKUP($B$2,Grades!A:BU,73,FALSE)&amp;":"&amp;VLOOKUP($B$2,Grades!A:BU,73,FALSE))))</f>
        <v/>
      </c>
      <c r="D115" s="81"/>
      <c r="E115" s="81"/>
      <c r="F115" s="81" t="str">
        <f ca="1">IF($B115="","",IF(SUMIF(Grades!$A:$A,$B$2,Grades!$BO:$BO)=0,"-",IF(AND(VLOOKUP($B$2,Grades!$A:$BV,74,FALSE)="YES",B115&lt;Thresholds_Rates!$C$16),"-",$C115*Thresholds_Rates!$F$15)))</f>
        <v/>
      </c>
      <c r="G115" s="81" t="str">
        <f ca="1">IF(B115="","",IF($B$2="Salary Points 1 to 57","-",IF(SUMIF(Grades!$A:$A,$B$2,Grades!$BP:$BP)=0,"-",IF(AND(OR($B$2="New Consultant Contract"),$B115&lt;&gt;""),$C115*Thresholds_Rates!$F$16,IF(AND(OR($B$2="Clinical Lecturer / Medical Research Fellow",$B$2="Clinical Consultant - Old Contract (GP)"),$B115&lt;&gt;""),$C115*Thresholds_Rates!$F$16,IF(AND(OR($B$2="APM Level 7",$B$2="R&amp;T Level 7"),F115&lt;&gt;""),$C115*Thresholds_Rates!$F$16,IF(SUMIF(Grades!$A:$A,$B$2,Grades!$BP:$BP)=1,$C115*Thresholds_Rates!$F$16,"")))))))</f>
        <v/>
      </c>
      <c r="H115" s="81" t="str">
        <f ca="1">IF(B115="","",IF(SUMIF(Grades!$A:$A,$B$2,Grades!$BQ:$BQ)=0,"-",IF(AND($B$2="Salary Points 1 to 57",B115&gt;Thresholds_Rates!$C$17),"-",IF(AND($B$2="Salary Points 1 to 57",B115&lt;=Thresholds_Rates!$C$17),$C115*Thresholds_Rates!$F$17,IF(AND(OR($B$2="New Consultant Contract"),$B115&lt;&gt;""),$C115*Thresholds_Rates!$F$17,IF(AND(OR($B$2="Clinical Lecturer / Medical Research Fellow",$B$2="Clinical Consultant - Old Contract (GP)"),$B115&lt;&gt;""),$C115*Thresholds_Rates!$F$17,IF(AND(OR($B$2="APM Level 7",$B$2="R&amp;T Level 7"),G115&lt;&gt;""),$C115*Thresholds_Rates!$F$17,IF(SUMIF(Grades!$A:$A,$B$2,Grades!$BQ:$BQ)=1,$C115*Thresholds_Rates!$F$17,""))))))))</f>
        <v/>
      </c>
      <c r="I115" s="81"/>
      <c r="J115" s="81" t="str">
        <f ca="1">IF(B115="","",(C115*Thresholds_Rates!$C$12))</f>
        <v/>
      </c>
      <c r="K115" s="81"/>
      <c r="L115" s="68"/>
      <c r="M115" s="81" t="str">
        <f t="shared" ca="1" si="6"/>
        <v/>
      </c>
      <c r="N115" s="81" t="str">
        <f t="shared" ca="1" si="7"/>
        <v/>
      </c>
      <c r="O115" s="81" t="str">
        <f t="shared" ca="1" si="8"/>
        <v/>
      </c>
      <c r="P115" s="81" t="str">
        <f t="shared" ca="1" si="9"/>
        <v/>
      </c>
      <c r="Q115" s="81" t="str">
        <f t="shared" ca="1" si="10"/>
        <v/>
      </c>
      <c r="R115" s="39"/>
      <c r="S115" s="83"/>
      <c r="T115" s="84"/>
      <c r="U115" s="83"/>
      <c r="V115" s="84"/>
      <c r="Z115" s="39"/>
      <c r="AA115" s="39"/>
      <c r="AB115" s="39"/>
      <c r="AC115" s="39"/>
      <c r="AD115" s="39"/>
      <c r="AE115" s="39"/>
      <c r="AF115" s="39"/>
      <c r="AO115" s="39"/>
      <c r="AP115" s="39"/>
      <c r="AQ115" s="39"/>
      <c r="AR115" s="39"/>
      <c r="AS115" s="39"/>
      <c r="AT115" s="39"/>
      <c r="AU115" s="39"/>
      <c r="AV115" s="39"/>
      <c r="AW115" s="39"/>
      <c r="AX115" s="39"/>
      <c r="AY115" s="39"/>
      <c r="AZ115" s="39"/>
      <c r="BA115" s="39"/>
      <c r="BB115" s="39"/>
      <c r="BC115" s="39"/>
    </row>
    <row r="116" spans="2:55" s="69" customFormat="1" x14ac:dyDescent="0.25">
      <c r="B116" s="68" t="str">
        <f ca="1">IFERROR(INDEX('Points Lookup'!$A:$A,MATCH($AA118,'Points Lookup'!$AN:$AN,0)),"")</f>
        <v/>
      </c>
      <c r="C116" s="81" t="str">
        <f ca="1">IF(B116="","",SUMIF(INDIRECT("'Points Lookup'!"&amp;VLOOKUP($B$2,Grades!A:BU,72,FALSE)&amp;":"&amp;VLOOKUP($B$2,Grades!A:BU,72,FALSE)),B116,INDIRECT("'Points Lookup'!"&amp;VLOOKUP($B$2,Grades!A:BU,73,FALSE)&amp;":"&amp;VLOOKUP($B$2,Grades!A:BU,73,FALSE))))</f>
        <v/>
      </c>
      <c r="D116" s="81"/>
      <c r="E116" s="81"/>
      <c r="F116" s="81" t="str">
        <f ca="1">IF($B116="","",IF(SUMIF(Grades!$A:$A,$B$2,Grades!$BO:$BO)=0,"-",IF(AND(VLOOKUP($B$2,Grades!$A:$BV,74,FALSE)="YES",B116&lt;Thresholds_Rates!$C$16),"-",$C116*Thresholds_Rates!$F$15)))</f>
        <v/>
      </c>
      <c r="G116" s="81" t="str">
        <f ca="1">IF(B116="","",IF($B$2="Salary Points 1 to 57","-",IF(SUMIF(Grades!$A:$A,$B$2,Grades!$BP:$BP)=0,"-",IF(AND(OR($B$2="New Consultant Contract"),$B116&lt;&gt;""),$C116*Thresholds_Rates!$F$16,IF(AND(OR($B$2="Clinical Lecturer / Medical Research Fellow",$B$2="Clinical Consultant - Old Contract (GP)"),$B116&lt;&gt;""),$C116*Thresholds_Rates!$F$16,IF(AND(OR($B$2="APM Level 7",$B$2="R&amp;T Level 7"),F116&lt;&gt;""),$C116*Thresholds_Rates!$F$16,IF(SUMIF(Grades!$A:$A,$B$2,Grades!$BP:$BP)=1,$C116*Thresholds_Rates!$F$16,"")))))))</f>
        <v/>
      </c>
      <c r="H116" s="81" t="str">
        <f ca="1">IF(B116="","",IF(SUMIF(Grades!$A:$A,$B$2,Grades!$BQ:$BQ)=0,"-",IF(AND($B$2="Salary Points 1 to 57",B116&gt;Thresholds_Rates!$C$17),"-",IF(AND($B$2="Salary Points 1 to 57",B116&lt;=Thresholds_Rates!$C$17),$C116*Thresholds_Rates!$F$17,IF(AND(OR($B$2="New Consultant Contract"),$B116&lt;&gt;""),$C116*Thresholds_Rates!$F$17,IF(AND(OR($B$2="Clinical Lecturer / Medical Research Fellow",$B$2="Clinical Consultant - Old Contract (GP)"),$B116&lt;&gt;""),$C116*Thresholds_Rates!$F$17,IF(AND(OR($B$2="APM Level 7",$B$2="R&amp;T Level 7"),G116&lt;&gt;""),$C116*Thresholds_Rates!$F$17,IF(SUMIF(Grades!$A:$A,$B$2,Grades!$BQ:$BQ)=1,$C116*Thresholds_Rates!$F$17,""))))))))</f>
        <v/>
      </c>
      <c r="I116" s="81"/>
      <c r="J116" s="81" t="str">
        <f ca="1">IF(B116="","",(C116*Thresholds_Rates!$C$12))</f>
        <v/>
      </c>
      <c r="K116" s="81"/>
      <c r="L116" s="68"/>
      <c r="M116" s="81" t="str">
        <f t="shared" ca="1" si="6"/>
        <v/>
      </c>
      <c r="N116" s="81" t="str">
        <f t="shared" ca="1" si="7"/>
        <v/>
      </c>
      <c r="O116" s="81" t="str">
        <f t="shared" ca="1" si="8"/>
        <v/>
      </c>
      <c r="P116" s="81" t="str">
        <f t="shared" ca="1" si="9"/>
        <v/>
      </c>
      <c r="Q116" s="81" t="str">
        <f t="shared" ca="1" si="10"/>
        <v/>
      </c>
      <c r="R116" s="39"/>
      <c r="S116" s="83"/>
      <c r="T116" s="84"/>
      <c r="U116" s="83"/>
      <c r="V116" s="84"/>
      <c r="Z116" s="39"/>
      <c r="AA116" s="39"/>
      <c r="AB116" s="39"/>
      <c r="AC116" s="39"/>
      <c r="AD116" s="39"/>
      <c r="AE116" s="39"/>
      <c r="AF116" s="39"/>
      <c r="AO116" s="39"/>
      <c r="AP116" s="39"/>
      <c r="AQ116" s="39"/>
      <c r="AR116" s="39"/>
      <c r="AS116" s="39"/>
      <c r="AT116" s="39"/>
      <c r="AU116" s="39"/>
      <c r="AV116" s="39"/>
      <c r="AW116" s="39"/>
      <c r="AX116" s="39"/>
      <c r="AY116" s="39"/>
      <c r="AZ116" s="39"/>
      <c r="BA116" s="39"/>
      <c r="BB116" s="39"/>
      <c r="BC116" s="39"/>
    </row>
    <row r="117" spans="2:55" s="69" customFormat="1" x14ac:dyDescent="0.25">
      <c r="B117" s="68" t="str">
        <f ca="1">IFERROR(INDEX('Points Lookup'!$A:$A,MATCH($AA119,'Points Lookup'!$AN:$AN,0)),"")</f>
        <v/>
      </c>
      <c r="C117" s="81" t="str">
        <f ca="1">IF(B117="","",SUMIF(INDIRECT("'Points Lookup'!"&amp;VLOOKUP($B$2,Grades!A:BU,72,FALSE)&amp;":"&amp;VLOOKUP($B$2,Grades!A:BU,72,FALSE)),B117,INDIRECT("'Points Lookup'!"&amp;VLOOKUP($B$2,Grades!A:BU,73,FALSE)&amp;":"&amp;VLOOKUP($B$2,Grades!A:BU,73,FALSE))))</f>
        <v/>
      </c>
      <c r="D117" s="81"/>
      <c r="E117" s="81"/>
      <c r="F117" s="81" t="str">
        <f ca="1">IF($B117="","",IF(SUMIF(Grades!$A:$A,$B$2,Grades!$BO:$BO)=0,"-",IF(AND(VLOOKUP($B$2,Grades!$A:$BV,74,FALSE)="YES",B117&lt;Thresholds_Rates!$C$16),"-",$C117*Thresholds_Rates!$F$15)))</f>
        <v/>
      </c>
      <c r="G117" s="81" t="str">
        <f ca="1">IF(B117="","",IF($B$2="Salary Points 1 to 57","-",IF(SUMIF(Grades!$A:$A,$B$2,Grades!$BP:$BP)=0,"-",IF(AND(OR($B$2="New Consultant Contract"),$B117&lt;&gt;""),$C117*Thresholds_Rates!$F$16,IF(AND(OR($B$2="Clinical Lecturer / Medical Research Fellow",$B$2="Clinical Consultant - Old Contract (GP)"),$B117&lt;&gt;""),$C117*Thresholds_Rates!$F$16,IF(AND(OR($B$2="APM Level 7",$B$2="R&amp;T Level 7"),F117&lt;&gt;""),$C117*Thresholds_Rates!$F$16,IF(SUMIF(Grades!$A:$A,$B$2,Grades!$BP:$BP)=1,$C117*Thresholds_Rates!$F$16,"")))))))</f>
        <v/>
      </c>
      <c r="H117" s="81" t="str">
        <f ca="1">IF(B117="","",IF(SUMIF(Grades!$A:$A,$B$2,Grades!$BQ:$BQ)=0,"-",IF(AND($B$2="Salary Points 1 to 57",B117&gt;Thresholds_Rates!$C$17),"-",IF(AND($B$2="Salary Points 1 to 57",B117&lt;=Thresholds_Rates!$C$17),$C117*Thresholds_Rates!$F$17,IF(AND(OR($B$2="New Consultant Contract"),$B117&lt;&gt;""),$C117*Thresholds_Rates!$F$17,IF(AND(OR($B$2="Clinical Lecturer / Medical Research Fellow",$B$2="Clinical Consultant - Old Contract (GP)"),$B117&lt;&gt;""),$C117*Thresholds_Rates!$F$17,IF(AND(OR($B$2="APM Level 7",$B$2="R&amp;T Level 7"),G117&lt;&gt;""),$C117*Thresholds_Rates!$F$17,IF(SUMIF(Grades!$A:$A,$B$2,Grades!$BQ:$BQ)=1,$C117*Thresholds_Rates!$F$17,""))))))))</f>
        <v/>
      </c>
      <c r="I117" s="81"/>
      <c r="J117" s="81" t="str">
        <f ca="1">IF(B117="","",(C117*Thresholds_Rates!$C$12))</f>
        <v/>
      </c>
      <c r="K117" s="81"/>
      <c r="L117" s="68"/>
      <c r="M117" s="81" t="str">
        <f t="shared" ca="1" si="6"/>
        <v/>
      </c>
      <c r="N117" s="81" t="str">
        <f t="shared" ca="1" si="7"/>
        <v/>
      </c>
      <c r="O117" s="81" t="str">
        <f t="shared" ca="1" si="8"/>
        <v/>
      </c>
      <c r="P117" s="81" t="str">
        <f t="shared" ca="1" si="9"/>
        <v/>
      </c>
      <c r="Q117" s="81" t="str">
        <f t="shared" ca="1" si="10"/>
        <v/>
      </c>
      <c r="R117" s="39"/>
      <c r="S117" s="83"/>
      <c r="T117" s="84"/>
      <c r="U117" s="83"/>
      <c r="V117" s="84"/>
      <c r="Z117" s="39"/>
      <c r="AA117" s="39"/>
      <c r="AB117" s="39"/>
      <c r="AC117" s="39"/>
      <c r="AD117" s="39"/>
      <c r="AE117" s="39"/>
      <c r="AF117" s="39"/>
      <c r="AO117" s="39"/>
      <c r="AP117" s="39"/>
      <c r="AQ117" s="39"/>
      <c r="AR117" s="39"/>
      <c r="AS117" s="39"/>
      <c r="AT117" s="39"/>
      <c r="AU117" s="39"/>
      <c r="AV117" s="39"/>
      <c r="AW117" s="39"/>
      <c r="AX117" s="39"/>
      <c r="AY117" s="39"/>
      <c r="AZ117" s="39"/>
      <c r="BA117" s="39"/>
      <c r="BB117" s="39"/>
      <c r="BC117" s="39"/>
    </row>
    <row r="118" spans="2:55" s="69" customFormat="1" x14ac:dyDescent="0.25">
      <c r="B118" s="68" t="str">
        <f ca="1">IFERROR(INDEX('Points Lookup'!$A:$A,MATCH($AA120,'Points Lookup'!$AN:$AN,0)),"")</f>
        <v/>
      </c>
      <c r="C118" s="81" t="str">
        <f ca="1">IF(B118="","",SUMIF(INDIRECT("'Points Lookup'!"&amp;VLOOKUP($B$2,Grades!A:BU,72,FALSE)&amp;":"&amp;VLOOKUP($B$2,Grades!A:BU,72,FALSE)),B118,INDIRECT("'Points Lookup'!"&amp;VLOOKUP($B$2,Grades!A:BU,73,FALSE)&amp;":"&amp;VLOOKUP($B$2,Grades!A:BU,73,FALSE))))</f>
        <v/>
      </c>
      <c r="D118" s="81"/>
      <c r="E118" s="81"/>
      <c r="F118" s="81" t="str">
        <f ca="1">IF($B118="","",IF(SUMIF(Grades!$A:$A,$B$2,Grades!$BO:$BO)=0,"-",IF(AND(VLOOKUP($B$2,Grades!$A:$BV,74,FALSE)="YES",B118&lt;Thresholds_Rates!$C$16),"-",$C118*Thresholds_Rates!$F$15)))</f>
        <v/>
      </c>
      <c r="G118" s="81" t="str">
        <f ca="1">IF(B118="","",IF($B$2="Salary Points 1 to 57","-",IF(SUMIF(Grades!$A:$A,$B$2,Grades!$BP:$BP)=0,"-",IF(AND(OR($B$2="New Consultant Contract"),$B118&lt;&gt;""),$C118*Thresholds_Rates!$F$16,IF(AND(OR($B$2="Clinical Lecturer / Medical Research Fellow",$B$2="Clinical Consultant - Old Contract (GP)"),$B118&lt;&gt;""),$C118*Thresholds_Rates!$F$16,IF(AND(OR($B$2="APM Level 7",$B$2="R&amp;T Level 7"),F118&lt;&gt;""),$C118*Thresholds_Rates!$F$16,IF(SUMIF(Grades!$A:$A,$B$2,Grades!$BP:$BP)=1,$C118*Thresholds_Rates!$F$16,"")))))))</f>
        <v/>
      </c>
      <c r="H118" s="81" t="str">
        <f ca="1">IF(B118="","",IF(SUMIF(Grades!$A:$A,$B$2,Grades!$BQ:$BQ)=0,"-",IF(AND($B$2="Salary Points 1 to 57",B118&gt;Thresholds_Rates!$C$17),"-",IF(AND($B$2="Salary Points 1 to 57",B118&lt;=Thresholds_Rates!$C$17),$C118*Thresholds_Rates!$F$17,IF(AND(OR($B$2="New Consultant Contract"),$B118&lt;&gt;""),$C118*Thresholds_Rates!$F$17,IF(AND(OR($B$2="Clinical Lecturer / Medical Research Fellow",$B$2="Clinical Consultant - Old Contract (GP)"),$B118&lt;&gt;""),$C118*Thresholds_Rates!$F$17,IF(AND(OR($B$2="APM Level 7",$B$2="R&amp;T Level 7"),G118&lt;&gt;""),$C118*Thresholds_Rates!$F$17,IF(SUMIF(Grades!$A:$A,$B$2,Grades!$BQ:$BQ)=1,$C118*Thresholds_Rates!$F$17,""))))))))</f>
        <v/>
      </c>
      <c r="I118" s="81"/>
      <c r="J118" s="81" t="str">
        <f ca="1">IF(B118="","",(C118*Thresholds_Rates!$C$12))</f>
        <v/>
      </c>
      <c r="K118" s="81"/>
      <c r="L118" s="68"/>
      <c r="M118" s="81" t="str">
        <f t="shared" ca="1" si="6"/>
        <v/>
      </c>
      <c r="N118" s="81" t="str">
        <f t="shared" ca="1" si="7"/>
        <v/>
      </c>
      <c r="O118" s="81" t="str">
        <f t="shared" ca="1" si="8"/>
        <v/>
      </c>
      <c r="P118" s="81" t="str">
        <f t="shared" ca="1" si="9"/>
        <v/>
      </c>
      <c r="Q118" s="81" t="str">
        <f t="shared" ca="1" si="10"/>
        <v/>
      </c>
      <c r="R118" s="39"/>
      <c r="S118" s="83"/>
      <c r="T118" s="84"/>
      <c r="U118" s="83"/>
      <c r="V118" s="84"/>
      <c r="Z118" s="39"/>
      <c r="AA118" s="39"/>
      <c r="AB118" s="39"/>
      <c r="AC118" s="39"/>
      <c r="AD118" s="39"/>
      <c r="AE118" s="39"/>
      <c r="AF118" s="39"/>
      <c r="AO118" s="39"/>
      <c r="AP118" s="39"/>
      <c r="AQ118" s="39"/>
      <c r="AR118" s="39"/>
      <c r="AS118" s="39"/>
      <c r="AT118" s="39"/>
      <c r="AU118" s="39"/>
      <c r="AV118" s="39"/>
      <c r="AW118" s="39"/>
      <c r="AX118" s="39"/>
      <c r="AY118" s="39"/>
      <c r="AZ118" s="39"/>
      <c r="BA118" s="39"/>
      <c r="BB118" s="39"/>
      <c r="BC118" s="39"/>
    </row>
    <row r="119" spans="2:55" s="69" customFormat="1" x14ac:dyDescent="0.25">
      <c r="B119" s="68" t="str">
        <f ca="1">IFERROR(INDEX('Points Lookup'!$A:$A,MATCH($AA121,'Points Lookup'!$AN:$AN,0)),"")</f>
        <v/>
      </c>
      <c r="C119" s="81" t="str">
        <f ca="1">IF(B119="","",SUMIF(INDIRECT("'Points Lookup'!"&amp;VLOOKUP($B$2,Grades!A:BU,72,FALSE)&amp;":"&amp;VLOOKUP($B$2,Grades!A:BU,72,FALSE)),B119,INDIRECT("'Points Lookup'!"&amp;VLOOKUP($B$2,Grades!A:BU,73,FALSE)&amp;":"&amp;VLOOKUP($B$2,Grades!A:BU,73,FALSE))))</f>
        <v/>
      </c>
      <c r="D119" s="81"/>
      <c r="E119" s="81"/>
      <c r="F119" s="81" t="str">
        <f ca="1">IF($B119="","",IF(SUMIF(Grades!$A:$A,$B$2,Grades!$BO:$BO)=0,"-",IF(AND(VLOOKUP($B$2,Grades!$A:$BV,74,FALSE)="YES",B119&lt;Thresholds_Rates!$C$16),"-",$C119*Thresholds_Rates!$F$15)))</f>
        <v/>
      </c>
      <c r="G119" s="81" t="str">
        <f ca="1">IF(B119="","",IF($B$2="Salary Points 1 to 57","-",IF(SUMIF(Grades!$A:$A,$B$2,Grades!$BP:$BP)=0,"-",IF(AND(OR($B$2="New Consultant Contract"),$B119&lt;&gt;""),$C119*Thresholds_Rates!$F$16,IF(AND(OR($B$2="Clinical Lecturer / Medical Research Fellow",$B$2="Clinical Consultant - Old Contract (GP)"),$B119&lt;&gt;""),$C119*Thresholds_Rates!$F$16,IF(AND(OR($B$2="APM Level 7",$B$2="R&amp;T Level 7"),F119&lt;&gt;""),$C119*Thresholds_Rates!$F$16,IF(SUMIF(Grades!$A:$A,$B$2,Grades!$BP:$BP)=1,$C119*Thresholds_Rates!$F$16,"")))))))</f>
        <v/>
      </c>
      <c r="H119" s="81" t="str">
        <f ca="1">IF(B119="","",IF(SUMIF(Grades!$A:$A,$B$2,Grades!$BQ:$BQ)=0,"-",IF(AND($B$2="Salary Points 1 to 57",B119&gt;Thresholds_Rates!$C$17),"-",IF(AND($B$2="Salary Points 1 to 57",B119&lt;=Thresholds_Rates!$C$17),$C119*Thresholds_Rates!$F$17,IF(AND(OR($B$2="New Consultant Contract"),$B119&lt;&gt;""),$C119*Thresholds_Rates!$F$17,IF(AND(OR($B$2="Clinical Lecturer / Medical Research Fellow",$B$2="Clinical Consultant - Old Contract (GP)"),$B119&lt;&gt;""),$C119*Thresholds_Rates!$F$17,IF(AND(OR($B$2="APM Level 7",$B$2="R&amp;T Level 7"),G119&lt;&gt;""),$C119*Thresholds_Rates!$F$17,IF(SUMIF(Grades!$A:$A,$B$2,Grades!$BQ:$BQ)=1,$C119*Thresholds_Rates!$F$17,""))))))))</f>
        <v/>
      </c>
      <c r="I119" s="81"/>
      <c r="J119" s="81" t="str">
        <f ca="1">IF(B119="","",(C119*Thresholds_Rates!$C$12))</f>
        <v/>
      </c>
      <c r="K119" s="81"/>
      <c r="L119" s="68"/>
      <c r="M119" s="81" t="str">
        <f t="shared" ca="1" si="6"/>
        <v/>
      </c>
      <c r="N119" s="81" t="str">
        <f t="shared" ca="1" si="7"/>
        <v/>
      </c>
      <c r="O119" s="81" t="str">
        <f t="shared" ca="1" si="8"/>
        <v/>
      </c>
      <c r="P119" s="81" t="str">
        <f t="shared" ca="1" si="9"/>
        <v/>
      </c>
      <c r="Q119" s="81" t="str">
        <f t="shared" ca="1" si="10"/>
        <v/>
      </c>
      <c r="R119" s="39"/>
      <c r="S119" s="83"/>
      <c r="T119" s="84"/>
      <c r="U119" s="83"/>
      <c r="V119" s="84"/>
      <c r="Z119" s="39"/>
      <c r="AA119" s="39"/>
      <c r="AB119" s="39"/>
      <c r="AC119" s="39"/>
      <c r="AD119" s="39"/>
      <c r="AE119" s="39"/>
      <c r="AF119" s="39"/>
      <c r="AO119" s="39"/>
      <c r="AP119" s="39"/>
      <c r="AQ119" s="39"/>
      <c r="AR119" s="39"/>
      <c r="AS119" s="39"/>
      <c r="AT119" s="39"/>
      <c r="AU119" s="39"/>
      <c r="AV119" s="39"/>
      <c r="AW119" s="39"/>
      <c r="AX119" s="39"/>
      <c r="AY119" s="39"/>
      <c r="AZ119" s="39"/>
      <c r="BA119" s="39"/>
      <c r="BB119" s="39"/>
      <c r="BC119" s="39"/>
    </row>
    <row r="120" spans="2:55" s="69" customFormat="1" x14ac:dyDescent="0.25">
      <c r="B120" s="68" t="str">
        <f ca="1">IFERROR(INDEX('Points Lookup'!$A:$A,MATCH($AA122,'Points Lookup'!$AN:$AN,0)),"")</f>
        <v/>
      </c>
      <c r="C120" s="81" t="str">
        <f ca="1">IF(B120="","",SUMIF(INDIRECT("'Points Lookup'!"&amp;VLOOKUP($B$2,Grades!A:BU,72,FALSE)&amp;":"&amp;VLOOKUP($B$2,Grades!A:BU,72,FALSE)),B120,INDIRECT("'Points Lookup'!"&amp;VLOOKUP($B$2,Grades!A:BU,73,FALSE)&amp;":"&amp;VLOOKUP($B$2,Grades!A:BU,73,FALSE))))</f>
        <v/>
      </c>
      <c r="D120" s="81"/>
      <c r="E120" s="81"/>
      <c r="F120" s="81" t="str">
        <f ca="1">IF($B120="","",IF(SUMIF(Grades!$A:$A,$B$2,Grades!$BO:$BO)=0,"-",IF(AND(VLOOKUP($B$2,Grades!$A:$BV,74,FALSE)="YES",B120&lt;Thresholds_Rates!$C$16),"-",$C120*Thresholds_Rates!$F$15)))</f>
        <v/>
      </c>
      <c r="G120" s="81" t="str">
        <f ca="1">IF(B120="","",IF($B$2="Salary Points 1 to 57","-",IF(SUMIF(Grades!$A:$A,$B$2,Grades!$BP:$BP)=0,"-",IF(AND(OR($B$2="New Consultant Contract"),$B120&lt;&gt;""),$C120*Thresholds_Rates!$F$16,IF(AND(OR($B$2="Clinical Lecturer / Medical Research Fellow",$B$2="Clinical Consultant - Old Contract (GP)"),$B120&lt;&gt;""),$C120*Thresholds_Rates!$F$16,IF(AND(OR($B$2="APM Level 7",$B$2="R&amp;T Level 7"),F120&lt;&gt;""),$C120*Thresholds_Rates!$F$16,IF(SUMIF(Grades!$A:$A,$B$2,Grades!$BP:$BP)=1,$C120*Thresholds_Rates!$F$16,"")))))))</f>
        <v/>
      </c>
      <c r="H120" s="81" t="str">
        <f ca="1">IF(B120="","",IF(SUMIF(Grades!$A:$A,$B$2,Grades!$BQ:$BQ)=0,"-",IF(AND($B$2="Salary Points 1 to 57",B120&gt;Thresholds_Rates!$C$17),"-",IF(AND($B$2="Salary Points 1 to 57",B120&lt;=Thresholds_Rates!$C$17),$C120*Thresholds_Rates!$F$17,IF(AND(OR($B$2="New Consultant Contract"),$B120&lt;&gt;""),$C120*Thresholds_Rates!$F$17,IF(AND(OR($B$2="Clinical Lecturer / Medical Research Fellow",$B$2="Clinical Consultant - Old Contract (GP)"),$B120&lt;&gt;""),$C120*Thresholds_Rates!$F$17,IF(AND(OR($B$2="APM Level 7",$B$2="R&amp;T Level 7"),G120&lt;&gt;""),$C120*Thresholds_Rates!$F$17,IF(SUMIF(Grades!$A:$A,$B$2,Grades!$BQ:$BQ)=1,$C120*Thresholds_Rates!$F$17,""))))))))</f>
        <v/>
      </c>
      <c r="I120" s="81"/>
      <c r="J120" s="81" t="str">
        <f ca="1">IF(B120="","",(C120*Thresholds_Rates!$C$12))</f>
        <v/>
      </c>
      <c r="K120" s="81"/>
      <c r="L120" s="68"/>
      <c r="M120" s="81" t="str">
        <f t="shared" ca="1" si="6"/>
        <v/>
      </c>
      <c r="N120" s="81" t="str">
        <f t="shared" ca="1" si="7"/>
        <v/>
      </c>
      <c r="O120" s="81" t="str">
        <f t="shared" ca="1" si="8"/>
        <v/>
      </c>
      <c r="P120" s="81" t="str">
        <f t="shared" ca="1" si="9"/>
        <v/>
      </c>
      <c r="Q120" s="81" t="str">
        <f t="shared" ca="1" si="10"/>
        <v/>
      </c>
      <c r="R120" s="39"/>
      <c r="S120" s="83"/>
      <c r="T120" s="84"/>
      <c r="U120" s="83"/>
      <c r="V120" s="84"/>
      <c r="Z120" s="39"/>
      <c r="AA120" s="39"/>
      <c r="AB120" s="39"/>
      <c r="AC120" s="39"/>
      <c r="AD120" s="39"/>
      <c r="AE120" s="39"/>
      <c r="AF120" s="39"/>
      <c r="AO120" s="39"/>
      <c r="AP120" s="39"/>
      <c r="AQ120" s="39"/>
      <c r="AR120" s="39"/>
      <c r="AS120" s="39"/>
      <c r="AT120" s="39"/>
      <c r="AU120" s="39"/>
      <c r="AV120" s="39"/>
      <c r="AW120" s="39"/>
      <c r="AX120" s="39"/>
      <c r="AY120" s="39"/>
      <c r="AZ120" s="39"/>
      <c r="BA120" s="39"/>
      <c r="BB120" s="39"/>
      <c r="BC120" s="39"/>
    </row>
    <row r="121" spans="2:55" s="69" customFormat="1" x14ac:dyDescent="0.25">
      <c r="B121" s="68" t="str">
        <f ca="1">IFERROR(INDEX('Points Lookup'!$A:$A,MATCH($AA123,'Points Lookup'!$AN:$AN,0)),"")</f>
        <v/>
      </c>
      <c r="C121" s="81" t="str">
        <f ca="1">IF(B121="","",SUMIF(INDIRECT("'Points Lookup'!"&amp;VLOOKUP($B$2,Grades!A:BU,72,FALSE)&amp;":"&amp;VLOOKUP($B$2,Grades!A:BU,72,FALSE)),B121,INDIRECT("'Points Lookup'!"&amp;VLOOKUP($B$2,Grades!A:BU,73,FALSE)&amp;":"&amp;VLOOKUP($B$2,Grades!A:BU,73,FALSE))))</f>
        <v/>
      </c>
      <c r="D121" s="81"/>
      <c r="E121" s="81"/>
      <c r="F121" s="81" t="str">
        <f ca="1">IF($B121="","",IF(SUMIF(Grades!$A:$A,$B$2,Grades!$BO:$BO)=0,"-",IF(AND(VLOOKUP($B$2,Grades!$A:$BV,74,FALSE)="YES",B121&lt;Thresholds_Rates!$C$16),"-",$C121*Thresholds_Rates!$F$15)))</f>
        <v/>
      </c>
      <c r="G121" s="81" t="str">
        <f ca="1">IF(B121="","",IF($B$2="Salary Points 1 to 57","-",IF(SUMIF(Grades!$A:$A,$B$2,Grades!$BP:$BP)=0,"-",IF(AND(OR($B$2="New Consultant Contract"),$B121&lt;&gt;""),$C121*Thresholds_Rates!$F$16,IF(AND(OR($B$2="Clinical Lecturer / Medical Research Fellow",$B$2="Clinical Consultant - Old Contract (GP)"),$B121&lt;&gt;""),$C121*Thresholds_Rates!$F$16,IF(AND(OR($B$2="APM Level 7",$B$2="R&amp;T Level 7"),F121&lt;&gt;""),$C121*Thresholds_Rates!$F$16,IF(SUMIF(Grades!$A:$A,$B$2,Grades!$BP:$BP)=1,$C121*Thresholds_Rates!$F$16,"")))))))</f>
        <v/>
      </c>
      <c r="H121" s="81" t="str">
        <f ca="1">IF(B121="","",IF(SUMIF(Grades!$A:$A,$B$2,Grades!$BQ:$BQ)=0,"-",IF(AND($B$2="Salary Points 1 to 57",B121&gt;Thresholds_Rates!$C$17),"-",IF(AND($B$2="Salary Points 1 to 57",B121&lt;=Thresholds_Rates!$C$17),$C121*Thresholds_Rates!$F$17,IF(AND(OR($B$2="New Consultant Contract"),$B121&lt;&gt;""),$C121*Thresholds_Rates!$F$17,IF(AND(OR($B$2="Clinical Lecturer / Medical Research Fellow",$B$2="Clinical Consultant - Old Contract (GP)"),$B121&lt;&gt;""),$C121*Thresholds_Rates!$F$17,IF(AND(OR($B$2="APM Level 7",$B$2="R&amp;T Level 7"),G121&lt;&gt;""),$C121*Thresholds_Rates!$F$17,IF(SUMIF(Grades!$A:$A,$B$2,Grades!$BQ:$BQ)=1,$C121*Thresholds_Rates!$F$17,""))))))))</f>
        <v/>
      </c>
      <c r="I121" s="81"/>
      <c r="J121" s="81" t="str">
        <f ca="1">IF(B121="","",(C121*Thresholds_Rates!$C$12))</f>
        <v/>
      </c>
      <c r="K121" s="81"/>
      <c r="L121" s="68"/>
      <c r="M121" s="81" t="str">
        <f t="shared" ca="1" si="6"/>
        <v/>
      </c>
      <c r="N121" s="81" t="str">
        <f t="shared" ca="1" si="7"/>
        <v/>
      </c>
      <c r="O121" s="81" t="str">
        <f t="shared" ca="1" si="8"/>
        <v/>
      </c>
      <c r="P121" s="81" t="str">
        <f t="shared" ca="1" si="9"/>
        <v/>
      </c>
      <c r="Q121" s="81" t="str">
        <f t="shared" ca="1" si="10"/>
        <v/>
      </c>
      <c r="R121" s="39"/>
      <c r="S121" s="83"/>
      <c r="T121" s="84"/>
      <c r="U121" s="83"/>
      <c r="V121" s="84"/>
      <c r="Z121" s="39"/>
      <c r="AA121" s="39"/>
      <c r="AB121" s="39"/>
      <c r="AC121" s="39"/>
      <c r="AD121" s="39"/>
      <c r="AE121" s="39"/>
      <c r="AF121" s="39"/>
      <c r="AO121" s="39"/>
      <c r="AP121" s="39"/>
      <c r="AQ121" s="39"/>
      <c r="AR121" s="39"/>
      <c r="AS121" s="39"/>
      <c r="AT121" s="39"/>
      <c r="AU121" s="39"/>
      <c r="AV121" s="39"/>
      <c r="AW121" s="39"/>
      <c r="AX121" s="39"/>
      <c r="AY121" s="39"/>
      <c r="AZ121" s="39"/>
      <c r="BA121" s="39"/>
      <c r="BB121" s="39"/>
      <c r="BC121" s="39"/>
    </row>
    <row r="122" spans="2:55" s="69" customFormat="1" x14ac:dyDescent="0.25">
      <c r="B122" s="68" t="str">
        <f ca="1">IFERROR(INDEX('Points Lookup'!$A:$A,MATCH($AA124,'Points Lookup'!$AN:$AN,0)),"")</f>
        <v/>
      </c>
      <c r="C122" s="81" t="str">
        <f ca="1">IF(B122="","",SUMIF(INDIRECT("'Points Lookup'!"&amp;VLOOKUP($B$2,Grades!A:BU,72,FALSE)&amp;":"&amp;VLOOKUP($B$2,Grades!A:BU,72,FALSE)),B122,INDIRECT("'Points Lookup'!"&amp;VLOOKUP($B$2,Grades!A:BU,73,FALSE)&amp;":"&amp;VLOOKUP($B$2,Grades!A:BU,73,FALSE))))</f>
        <v/>
      </c>
      <c r="D122" s="81"/>
      <c r="E122" s="81"/>
      <c r="F122" s="81" t="str">
        <f ca="1">IF($B122="","",IF(SUMIF(Grades!$A:$A,$B$2,Grades!$BO:$BO)=0,"-",IF(AND(VLOOKUP($B$2,Grades!$A:$BV,74,FALSE)="YES",B122&lt;Thresholds_Rates!$C$16),"-",$C122*Thresholds_Rates!$F$15)))</f>
        <v/>
      </c>
      <c r="G122" s="81" t="str">
        <f ca="1">IF(B122="","",IF($B$2="Salary Points 1 to 57","-",IF(SUMIF(Grades!$A:$A,$B$2,Grades!$BP:$BP)=0,"-",IF(AND(OR($B$2="New Consultant Contract"),$B122&lt;&gt;""),$C122*Thresholds_Rates!$F$16,IF(AND(OR($B$2="Clinical Lecturer / Medical Research Fellow",$B$2="Clinical Consultant - Old Contract (GP)"),$B122&lt;&gt;""),$C122*Thresholds_Rates!$F$16,IF(AND(OR($B$2="APM Level 7",$B$2="R&amp;T Level 7"),F122&lt;&gt;""),$C122*Thresholds_Rates!$F$16,IF(SUMIF(Grades!$A:$A,$B$2,Grades!$BP:$BP)=1,$C122*Thresholds_Rates!$F$16,"")))))))</f>
        <v/>
      </c>
      <c r="H122" s="81" t="str">
        <f ca="1">IF(B122="","",IF(SUMIF(Grades!$A:$A,$B$2,Grades!$BQ:$BQ)=0,"-",IF(AND($B$2="Salary Points 1 to 57",B122&gt;Thresholds_Rates!$C$17),"-",IF(AND($B$2="Salary Points 1 to 57",B122&lt;=Thresholds_Rates!$C$17),$C122*Thresholds_Rates!$F$17,IF(AND(OR($B$2="New Consultant Contract"),$B122&lt;&gt;""),$C122*Thresholds_Rates!$F$17,IF(AND(OR($B$2="Clinical Lecturer / Medical Research Fellow",$B$2="Clinical Consultant - Old Contract (GP)"),$B122&lt;&gt;""),$C122*Thresholds_Rates!$F$17,IF(AND(OR($B$2="APM Level 7",$B$2="R&amp;T Level 7"),G122&lt;&gt;""),$C122*Thresholds_Rates!$F$17,IF(SUMIF(Grades!$A:$A,$B$2,Grades!$BQ:$BQ)=1,$C122*Thresholds_Rates!$F$17,""))))))))</f>
        <v/>
      </c>
      <c r="I122" s="81"/>
      <c r="J122" s="81" t="str">
        <f ca="1">IF(B122="","",(C122*Thresholds_Rates!$C$12))</f>
        <v/>
      </c>
      <c r="K122" s="81"/>
      <c r="L122" s="68"/>
      <c r="M122" s="81" t="str">
        <f t="shared" ca="1" si="6"/>
        <v/>
      </c>
      <c r="N122" s="81" t="str">
        <f t="shared" ca="1" si="7"/>
        <v/>
      </c>
      <c r="O122" s="81" t="str">
        <f t="shared" ca="1" si="8"/>
        <v/>
      </c>
      <c r="P122" s="81" t="str">
        <f t="shared" ca="1" si="9"/>
        <v/>
      </c>
      <c r="Q122" s="81" t="str">
        <f t="shared" ca="1" si="10"/>
        <v/>
      </c>
      <c r="R122" s="39"/>
      <c r="S122" s="83"/>
      <c r="T122" s="84"/>
      <c r="U122" s="83"/>
      <c r="V122" s="84"/>
      <c r="Z122" s="39"/>
      <c r="AA122" s="39"/>
      <c r="AB122" s="39"/>
      <c r="AC122" s="39"/>
      <c r="AD122" s="39"/>
      <c r="AE122" s="39"/>
      <c r="AF122" s="39"/>
      <c r="AO122" s="39"/>
      <c r="AP122" s="39"/>
      <c r="AQ122" s="39"/>
      <c r="AR122" s="39"/>
      <c r="AS122" s="39"/>
      <c r="AT122" s="39"/>
      <c r="AU122" s="39"/>
      <c r="AV122" s="39"/>
      <c r="AW122" s="39"/>
      <c r="AX122" s="39"/>
      <c r="AY122" s="39"/>
      <c r="AZ122" s="39"/>
      <c r="BA122" s="39"/>
      <c r="BB122" s="39"/>
      <c r="BC122" s="39"/>
    </row>
    <row r="123" spans="2:55" s="69" customFormat="1" x14ac:dyDescent="0.25">
      <c r="B123" s="68" t="str">
        <f ca="1">IFERROR(INDEX('Points Lookup'!$A:$A,MATCH($AA125,'Points Lookup'!$AN:$AN,0)),"")</f>
        <v/>
      </c>
      <c r="C123" s="81" t="str">
        <f ca="1">IF(B123="","",SUMIF(INDIRECT("'Points Lookup'!"&amp;VLOOKUP($B$2,Grades!A:BU,72,FALSE)&amp;":"&amp;VLOOKUP($B$2,Grades!A:BU,72,FALSE)),B123,INDIRECT("'Points Lookup'!"&amp;VLOOKUP($B$2,Grades!A:BU,73,FALSE)&amp;":"&amp;VLOOKUP($B$2,Grades!A:BU,73,FALSE))))</f>
        <v/>
      </c>
      <c r="D123" s="81"/>
      <c r="E123" s="81"/>
      <c r="F123" s="81" t="str">
        <f ca="1">IF($B123="","",IF(SUMIF(Grades!$A:$A,$B$2,Grades!$BO:$BO)=0,"-",IF(AND(VLOOKUP($B$2,Grades!$A:$BV,74,FALSE)="YES",B123&lt;Thresholds_Rates!$C$16),"-",$C123*Thresholds_Rates!$F$15)))</f>
        <v/>
      </c>
      <c r="G123" s="81" t="str">
        <f ca="1">IF(B123="","",IF($B$2="Salary Points 1 to 57","-",IF(SUMIF(Grades!$A:$A,$B$2,Grades!$BP:$BP)=0,"-",IF(AND(OR($B$2="New Consultant Contract"),$B123&lt;&gt;""),$C123*Thresholds_Rates!$F$16,IF(AND(OR($B$2="Clinical Lecturer / Medical Research Fellow",$B$2="Clinical Consultant - Old Contract (GP)"),$B123&lt;&gt;""),$C123*Thresholds_Rates!$F$16,IF(AND(OR($B$2="APM Level 7",$B$2="R&amp;T Level 7"),F123&lt;&gt;""),$C123*Thresholds_Rates!$F$16,IF(SUMIF(Grades!$A:$A,$B$2,Grades!$BP:$BP)=1,$C123*Thresholds_Rates!$F$16,"")))))))</f>
        <v/>
      </c>
      <c r="H123" s="81" t="str">
        <f ca="1">IF(B123="","",IF(SUMIF(Grades!$A:$A,$B$2,Grades!$BQ:$BQ)=0,"-",IF(AND($B$2="Salary Points 1 to 57",B123&gt;Thresholds_Rates!$C$17),"-",IF(AND($B$2="Salary Points 1 to 57",B123&lt;=Thresholds_Rates!$C$17),$C123*Thresholds_Rates!$F$17,IF(AND(OR($B$2="New Consultant Contract"),$B123&lt;&gt;""),$C123*Thresholds_Rates!$F$17,IF(AND(OR($B$2="Clinical Lecturer / Medical Research Fellow",$B$2="Clinical Consultant - Old Contract (GP)"),$B123&lt;&gt;""),$C123*Thresholds_Rates!$F$17,IF(AND(OR($B$2="APM Level 7",$B$2="R&amp;T Level 7"),G123&lt;&gt;""),$C123*Thresholds_Rates!$F$17,IF(SUMIF(Grades!$A:$A,$B$2,Grades!$BQ:$BQ)=1,$C123*Thresholds_Rates!$F$17,""))))))))</f>
        <v/>
      </c>
      <c r="I123" s="81"/>
      <c r="J123" s="81" t="str">
        <f ca="1">IF(B123="","",(C123*Thresholds_Rates!$C$12))</f>
        <v/>
      </c>
      <c r="K123" s="81"/>
      <c r="L123" s="68"/>
      <c r="M123" s="81" t="str">
        <f t="shared" ca="1" si="6"/>
        <v/>
      </c>
      <c r="N123" s="81" t="str">
        <f t="shared" ca="1" si="7"/>
        <v/>
      </c>
      <c r="O123" s="81" t="str">
        <f t="shared" ca="1" si="8"/>
        <v/>
      </c>
      <c r="P123" s="81" t="str">
        <f t="shared" ca="1" si="9"/>
        <v/>
      </c>
      <c r="Q123" s="81" t="str">
        <f t="shared" ca="1" si="10"/>
        <v/>
      </c>
      <c r="R123" s="39"/>
      <c r="S123" s="83"/>
      <c r="T123" s="84"/>
      <c r="U123" s="83"/>
      <c r="V123" s="84"/>
      <c r="Z123" s="39"/>
      <c r="AA123" s="39"/>
      <c r="AB123" s="39"/>
      <c r="AC123" s="39"/>
      <c r="AD123" s="39"/>
      <c r="AE123" s="39"/>
      <c r="AF123" s="39"/>
      <c r="AO123" s="39"/>
      <c r="AP123" s="39"/>
      <c r="AQ123" s="39"/>
      <c r="AR123" s="39"/>
      <c r="AS123" s="39"/>
      <c r="AT123" s="39"/>
      <c r="AU123" s="39"/>
      <c r="AV123" s="39"/>
      <c r="AW123" s="39"/>
      <c r="AX123" s="39"/>
      <c r="AY123" s="39"/>
      <c r="AZ123" s="39"/>
      <c r="BA123" s="39"/>
      <c r="BB123" s="39"/>
      <c r="BC123" s="39"/>
    </row>
    <row r="124" spans="2:55" s="69" customFormat="1" x14ac:dyDescent="0.25">
      <c r="B124" s="68" t="str">
        <f ca="1">IFERROR(INDEX('Points Lookup'!$A:$A,MATCH($AA126,'Points Lookup'!$AN:$AN,0)),"")</f>
        <v/>
      </c>
      <c r="C124" s="81" t="str">
        <f ca="1">IF(B124="","",SUMIF(INDIRECT("'Points Lookup'!"&amp;VLOOKUP($B$2,Grades!A:BU,72,FALSE)&amp;":"&amp;VLOOKUP($B$2,Grades!A:BU,72,FALSE)),B124,INDIRECT("'Points Lookup'!"&amp;VLOOKUP($B$2,Grades!A:BU,73,FALSE)&amp;":"&amp;VLOOKUP($B$2,Grades!A:BU,73,FALSE))))</f>
        <v/>
      </c>
      <c r="D124" s="81"/>
      <c r="E124" s="81"/>
      <c r="F124" s="81" t="str">
        <f ca="1">IF($B124="","",IF(SUMIF(Grades!$A:$A,$B$2,Grades!$BO:$BO)=0,"-",IF(AND(VLOOKUP($B$2,Grades!$A:$BV,74,FALSE)="YES",B124&lt;Thresholds_Rates!$C$16),"-",$C124*Thresholds_Rates!$F$15)))</f>
        <v/>
      </c>
      <c r="G124" s="81" t="str">
        <f ca="1">IF(B124="","",IF($B$2="Salary Points 1 to 57","-",IF(SUMIF(Grades!$A:$A,$B$2,Grades!$BP:$BP)=0,"-",IF(AND(OR($B$2="New Consultant Contract"),$B124&lt;&gt;""),$C124*Thresholds_Rates!$F$16,IF(AND(OR($B$2="Clinical Lecturer / Medical Research Fellow",$B$2="Clinical Consultant - Old Contract (GP)"),$B124&lt;&gt;""),$C124*Thresholds_Rates!$F$16,IF(AND(OR($B$2="APM Level 7",$B$2="R&amp;T Level 7"),F124&lt;&gt;""),$C124*Thresholds_Rates!$F$16,IF(SUMIF(Grades!$A:$A,$B$2,Grades!$BP:$BP)=1,$C124*Thresholds_Rates!$F$16,"")))))))</f>
        <v/>
      </c>
      <c r="H124" s="81" t="str">
        <f ca="1">IF(B124="","",IF(SUMIF(Grades!$A:$A,$B$2,Grades!$BQ:$BQ)=0,"-",IF(AND($B$2="Salary Points 1 to 57",B124&gt;Thresholds_Rates!$C$17),"-",IF(AND($B$2="Salary Points 1 to 57",B124&lt;=Thresholds_Rates!$C$17),$C124*Thresholds_Rates!$F$17,IF(AND(OR($B$2="New Consultant Contract"),$B124&lt;&gt;""),$C124*Thresholds_Rates!$F$17,IF(AND(OR($B$2="Clinical Lecturer / Medical Research Fellow",$B$2="Clinical Consultant - Old Contract (GP)"),$B124&lt;&gt;""),$C124*Thresholds_Rates!$F$17,IF(AND(OR($B$2="APM Level 7",$B$2="R&amp;T Level 7"),G124&lt;&gt;""),$C124*Thresholds_Rates!$F$17,IF(SUMIF(Grades!$A:$A,$B$2,Grades!$BQ:$BQ)=1,$C124*Thresholds_Rates!$F$17,""))))))))</f>
        <v/>
      </c>
      <c r="I124" s="81"/>
      <c r="J124" s="81" t="str">
        <f ca="1">IF(B124="","",(C124*Thresholds_Rates!$C$12))</f>
        <v/>
      </c>
      <c r="K124" s="81"/>
      <c r="L124" s="68"/>
      <c r="M124" s="81" t="str">
        <f t="shared" ca="1" si="6"/>
        <v/>
      </c>
      <c r="N124" s="81" t="str">
        <f t="shared" ca="1" si="7"/>
        <v/>
      </c>
      <c r="O124" s="81" t="str">
        <f t="shared" ca="1" si="8"/>
        <v/>
      </c>
      <c r="P124" s="81" t="str">
        <f t="shared" ca="1" si="9"/>
        <v/>
      </c>
      <c r="Q124" s="81" t="str">
        <f t="shared" ca="1" si="10"/>
        <v/>
      </c>
      <c r="R124" s="39"/>
      <c r="S124" s="83"/>
      <c r="T124" s="84"/>
      <c r="U124" s="83"/>
      <c r="V124" s="84"/>
      <c r="Z124" s="39"/>
      <c r="AA124" s="39"/>
      <c r="AB124" s="39"/>
      <c r="AC124" s="39"/>
      <c r="AD124" s="39"/>
      <c r="AE124" s="39"/>
      <c r="AF124" s="39"/>
      <c r="AO124" s="39"/>
      <c r="AP124" s="39"/>
      <c r="AQ124" s="39"/>
      <c r="AR124" s="39"/>
      <c r="AS124" s="39"/>
      <c r="AT124" s="39"/>
      <c r="AU124" s="39"/>
      <c r="AV124" s="39"/>
      <c r="AW124" s="39"/>
      <c r="AX124" s="39"/>
      <c r="AY124" s="39"/>
      <c r="AZ124" s="39"/>
      <c r="BA124" s="39"/>
      <c r="BB124" s="39"/>
      <c r="BC124" s="39"/>
    </row>
    <row r="125" spans="2:55" s="69" customFormat="1" x14ac:dyDescent="0.25">
      <c r="B125" s="68" t="str">
        <f ca="1">IFERROR(INDEX('Points Lookup'!$A:$A,MATCH($AA127,'Points Lookup'!$AN:$AN,0)),"")</f>
        <v/>
      </c>
      <c r="C125" s="81" t="str">
        <f ca="1">IF(B125="","",SUMIF(INDIRECT("'Points Lookup'!"&amp;VLOOKUP($B$2,Grades!A:BU,72,FALSE)&amp;":"&amp;VLOOKUP($B$2,Grades!A:BU,72,FALSE)),B125,INDIRECT("'Points Lookup'!"&amp;VLOOKUP($B$2,Grades!A:BU,73,FALSE)&amp;":"&amp;VLOOKUP($B$2,Grades!A:BU,73,FALSE))))</f>
        <v/>
      </c>
      <c r="D125" s="81"/>
      <c r="E125" s="81"/>
      <c r="F125" s="81" t="str">
        <f ca="1">IF($B125="","",IF(SUMIF(Grades!$A:$A,$B$2,Grades!$BO:$BO)=0,"-",IF(AND(VLOOKUP($B$2,Grades!$A:$BV,74,FALSE)="YES",B125&lt;Thresholds_Rates!$C$16),"-",$C125*Thresholds_Rates!$F$15)))</f>
        <v/>
      </c>
      <c r="G125" s="81" t="str">
        <f ca="1">IF(B125="","",IF($B$2="Salary Points 1 to 57","-",IF(SUMIF(Grades!$A:$A,$B$2,Grades!$BP:$BP)=0,"-",IF(AND(OR($B$2="New Consultant Contract"),$B125&lt;&gt;""),$C125*Thresholds_Rates!$F$16,IF(AND(OR($B$2="Clinical Lecturer / Medical Research Fellow",$B$2="Clinical Consultant - Old Contract (GP)"),$B125&lt;&gt;""),$C125*Thresholds_Rates!$F$16,IF(AND(OR($B$2="APM Level 7",$B$2="R&amp;T Level 7"),F125&lt;&gt;""),$C125*Thresholds_Rates!$F$16,IF(SUMIF(Grades!$A:$A,$B$2,Grades!$BP:$BP)=1,$C125*Thresholds_Rates!$F$16,"")))))))</f>
        <v/>
      </c>
      <c r="H125" s="81" t="str">
        <f ca="1">IF(B125="","",IF(SUMIF(Grades!$A:$A,$B$2,Grades!$BQ:$BQ)=0,"-",IF(AND($B$2="Salary Points 1 to 57",B125&gt;Thresholds_Rates!$C$17),"-",IF(AND($B$2="Salary Points 1 to 57",B125&lt;=Thresholds_Rates!$C$17),$C125*Thresholds_Rates!$F$17,IF(AND(OR($B$2="New Consultant Contract"),$B125&lt;&gt;""),$C125*Thresholds_Rates!$F$17,IF(AND(OR($B$2="Clinical Lecturer / Medical Research Fellow",$B$2="Clinical Consultant - Old Contract (GP)"),$B125&lt;&gt;""),$C125*Thresholds_Rates!$F$17,IF(AND(OR($B$2="APM Level 7",$B$2="R&amp;T Level 7"),G125&lt;&gt;""),$C125*Thresholds_Rates!$F$17,IF(SUMIF(Grades!$A:$A,$B$2,Grades!$BQ:$BQ)=1,$C125*Thresholds_Rates!$F$17,""))))))))</f>
        <v/>
      </c>
      <c r="I125" s="81"/>
      <c r="J125" s="81" t="str">
        <f ca="1">IF(B125="","",(C125*Thresholds_Rates!$C$12))</f>
        <v/>
      </c>
      <c r="K125" s="81"/>
      <c r="L125" s="68"/>
      <c r="M125" s="81" t="str">
        <f t="shared" ca="1" si="6"/>
        <v/>
      </c>
      <c r="N125" s="81" t="str">
        <f t="shared" ca="1" si="7"/>
        <v/>
      </c>
      <c r="O125" s="81" t="str">
        <f t="shared" ca="1" si="8"/>
        <v/>
      </c>
      <c r="P125" s="81" t="str">
        <f t="shared" ca="1" si="9"/>
        <v/>
      </c>
      <c r="Q125" s="81" t="str">
        <f t="shared" ca="1" si="10"/>
        <v/>
      </c>
      <c r="R125" s="39"/>
      <c r="S125" s="83"/>
      <c r="T125" s="84"/>
      <c r="U125" s="83"/>
      <c r="V125" s="84"/>
      <c r="Z125" s="39"/>
      <c r="AA125" s="39"/>
      <c r="AB125" s="39"/>
      <c r="AC125" s="39"/>
      <c r="AD125" s="39"/>
      <c r="AE125" s="39"/>
      <c r="AF125" s="39"/>
      <c r="AO125" s="39"/>
      <c r="AP125" s="39"/>
      <c r="AQ125" s="39"/>
      <c r="AR125" s="39"/>
      <c r="AS125" s="39"/>
      <c r="AT125" s="39"/>
      <c r="AU125" s="39"/>
      <c r="AV125" s="39"/>
      <c r="AW125" s="39"/>
      <c r="AX125" s="39"/>
      <c r="AY125" s="39"/>
      <c r="AZ125" s="39"/>
      <c r="BA125" s="39"/>
      <c r="BB125" s="39"/>
      <c r="BC125" s="39"/>
    </row>
    <row r="126" spans="2:55" s="69" customFormat="1" x14ac:dyDescent="0.25">
      <c r="B126" s="68" t="str">
        <f ca="1">IFERROR(INDEX('Points Lookup'!$A:$A,MATCH($AA128,'Points Lookup'!$AN:$AN,0)),"")</f>
        <v/>
      </c>
      <c r="C126" s="81" t="str">
        <f ca="1">IF(B126="","",SUMIF(INDIRECT("'Points Lookup'!"&amp;VLOOKUP($B$2,Grades!A:BU,72,FALSE)&amp;":"&amp;VLOOKUP($B$2,Grades!A:BU,72,FALSE)),B126,INDIRECT("'Points Lookup'!"&amp;VLOOKUP($B$2,Grades!A:BU,73,FALSE)&amp;":"&amp;VLOOKUP($B$2,Grades!A:BU,73,FALSE))))</f>
        <v/>
      </c>
      <c r="D126" s="81"/>
      <c r="E126" s="81"/>
      <c r="F126" s="81" t="str">
        <f ca="1">IF($B126="","",IF(SUMIF(Grades!$A:$A,$B$2,Grades!$BO:$BO)=0,"-",IF(AND(VLOOKUP($B$2,Grades!$A:$BV,74,FALSE)="YES",B126&lt;Thresholds_Rates!$C$16),"-",$C126*Thresholds_Rates!$F$15)))</f>
        <v/>
      </c>
      <c r="G126" s="81" t="str">
        <f ca="1">IF(B126="","",IF($B$2="Salary Points 1 to 57","-",IF(SUMIF(Grades!$A:$A,$B$2,Grades!$BP:$BP)=0,"-",IF(AND(OR($B$2="New Consultant Contract"),$B126&lt;&gt;""),$C126*Thresholds_Rates!$F$16,IF(AND(OR($B$2="Clinical Lecturer / Medical Research Fellow",$B$2="Clinical Consultant - Old Contract (GP)"),$B126&lt;&gt;""),$C126*Thresholds_Rates!$F$16,IF(AND(OR($B$2="APM Level 7",$B$2="R&amp;T Level 7"),F126&lt;&gt;""),$C126*Thresholds_Rates!$F$16,IF(SUMIF(Grades!$A:$A,$B$2,Grades!$BP:$BP)=1,$C126*Thresholds_Rates!$F$16,"")))))))</f>
        <v/>
      </c>
      <c r="H126" s="81" t="str">
        <f ca="1">IF(B126="","",IF(SUMIF(Grades!$A:$A,$B$2,Grades!$BQ:$BQ)=0,"-",IF(AND($B$2="Salary Points 1 to 57",B126&gt;Thresholds_Rates!$C$17),"-",IF(AND($B$2="Salary Points 1 to 57",B126&lt;=Thresholds_Rates!$C$17),$C126*Thresholds_Rates!$F$17,IF(AND(OR($B$2="New Consultant Contract"),$B126&lt;&gt;""),$C126*Thresholds_Rates!$F$17,IF(AND(OR($B$2="Clinical Lecturer / Medical Research Fellow",$B$2="Clinical Consultant - Old Contract (GP)"),$B126&lt;&gt;""),$C126*Thresholds_Rates!$F$17,IF(AND(OR($B$2="APM Level 7",$B$2="R&amp;T Level 7"),G126&lt;&gt;""),$C126*Thresholds_Rates!$F$17,IF(SUMIF(Grades!$A:$A,$B$2,Grades!$BQ:$BQ)=1,$C126*Thresholds_Rates!$F$17,""))))))))</f>
        <v/>
      </c>
      <c r="I126" s="81"/>
      <c r="J126" s="81" t="str">
        <f ca="1">IF(B126="","",(C126*Thresholds_Rates!$C$12))</f>
        <v/>
      </c>
      <c r="K126" s="81"/>
      <c r="L126" s="68"/>
      <c r="M126" s="81" t="str">
        <f t="shared" ca="1" si="6"/>
        <v/>
      </c>
      <c r="N126" s="81" t="str">
        <f t="shared" ca="1" si="7"/>
        <v/>
      </c>
      <c r="O126" s="81" t="str">
        <f t="shared" ca="1" si="8"/>
        <v/>
      </c>
      <c r="P126" s="81" t="str">
        <f t="shared" ca="1" si="9"/>
        <v/>
      </c>
      <c r="Q126" s="81" t="str">
        <f t="shared" ca="1" si="10"/>
        <v/>
      </c>
      <c r="R126" s="39"/>
      <c r="S126" s="83"/>
      <c r="T126" s="84"/>
      <c r="U126" s="83"/>
      <c r="V126" s="84"/>
      <c r="Z126" s="39"/>
      <c r="AA126" s="39"/>
      <c r="AB126" s="39"/>
      <c r="AC126" s="39"/>
      <c r="AD126" s="39"/>
      <c r="AE126" s="39"/>
      <c r="AF126" s="39"/>
      <c r="AO126" s="39"/>
      <c r="AP126" s="39"/>
      <c r="AQ126" s="39"/>
      <c r="AR126" s="39"/>
      <c r="AS126" s="39"/>
      <c r="AT126" s="39"/>
      <c r="AU126" s="39"/>
      <c r="AV126" s="39"/>
      <c r="AW126" s="39"/>
      <c r="AX126" s="39"/>
      <c r="AY126" s="39"/>
      <c r="AZ126" s="39"/>
      <c r="BA126" s="39"/>
      <c r="BB126" s="39"/>
      <c r="BC126" s="39"/>
    </row>
    <row r="127" spans="2:55" s="69" customFormat="1" x14ac:dyDescent="0.25">
      <c r="B127" s="68" t="str">
        <f ca="1">IFERROR(INDEX('Points Lookup'!$A:$A,MATCH($AA129,'Points Lookup'!$AN:$AN,0)),"")</f>
        <v/>
      </c>
      <c r="C127" s="81" t="str">
        <f ca="1">IF(B127="","",SUMIF(INDIRECT("'Points Lookup'!"&amp;VLOOKUP($B$2,Grades!A:BU,72,FALSE)&amp;":"&amp;VLOOKUP($B$2,Grades!A:BU,72,FALSE)),B127,INDIRECT("'Points Lookup'!"&amp;VLOOKUP($B$2,Grades!A:BU,73,FALSE)&amp;":"&amp;VLOOKUP($B$2,Grades!A:BU,73,FALSE))))</f>
        <v/>
      </c>
      <c r="D127" s="81"/>
      <c r="E127" s="81"/>
      <c r="F127" s="81" t="str">
        <f ca="1">IF($B127="","",IF(SUMIF(Grades!$A:$A,$B$2,Grades!$BO:$BO)=0,"-",IF(AND(VLOOKUP($B$2,Grades!$A:$BV,74,FALSE)="YES",B127&lt;Thresholds_Rates!$C$16),"-",$C127*Thresholds_Rates!$F$15)))</f>
        <v/>
      </c>
      <c r="G127" s="81" t="str">
        <f ca="1">IF(B127="","",IF($B$2="Salary Points 1 to 57","-",IF(SUMIF(Grades!$A:$A,$B$2,Grades!$BP:$BP)=0,"-",IF(AND(OR($B$2="New Consultant Contract"),$B127&lt;&gt;""),$C127*Thresholds_Rates!$F$16,IF(AND(OR($B$2="Clinical Lecturer / Medical Research Fellow",$B$2="Clinical Consultant - Old Contract (GP)"),$B127&lt;&gt;""),$C127*Thresholds_Rates!$F$16,IF(AND(OR($B$2="APM Level 7",$B$2="R&amp;T Level 7"),F127&lt;&gt;""),$C127*Thresholds_Rates!$F$16,IF(SUMIF(Grades!$A:$A,$B$2,Grades!$BP:$BP)=1,$C127*Thresholds_Rates!$F$16,"")))))))</f>
        <v/>
      </c>
      <c r="H127" s="81" t="str">
        <f ca="1">IF(B127="","",IF(SUMIF(Grades!$A:$A,$B$2,Grades!$BQ:$BQ)=0,"-",IF(AND($B$2="Salary Points 1 to 57",B127&gt;Thresholds_Rates!$C$17),"-",IF(AND($B$2="Salary Points 1 to 57",B127&lt;=Thresholds_Rates!$C$17),$C127*Thresholds_Rates!$F$17,IF(AND(OR($B$2="New Consultant Contract"),$B127&lt;&gt;""),$C127*Thresholds_Rates!$F$17,IF(AND(OR($B$2="Clinical Lecturer / Medical Research Fellow",$B$2="Clinical Consultant - Old Contract (GP)"),$B127&lt;&gt;""),$C127*Thresholds_Rates!$F$17,IF(AND(OR($B$2="APM Level 7",$B$2="R&amp;T Level 7"),G127&lt;&gt;""),$C127*Thresholds_Rates!$F$17,IF(SUMIF(Grades!$A:$A,$B$2,Grades!$BQ:$BQ)=1,$C127*Thresholds_Rates!$F$17,""))))))))</f>
        <v/>
      </c>
      <c r="I127" s="81"/>
      <c r="J127" s="81" t="str">
        <f ca="1">IF(B127="","",(C127*Thresholds_Rates!$C$12))</f>
        <v/>
      </c>
      <c r="K127" s="81"/>
      <c r="L127" s="68"/>
      <c r="M127" s="81" t="str">
        <f t="shared" ca="1" si="6"/>
        <v/>
      </c>
      <c r="N127" s="81" t="str">
        <f t="shared" ca="1" si="7"/>
        <v/>
      </c>
      <c r="O127" s="81" t="str">
        <f t="shared" ca="1" si="8"/>
        <v/>
      </c>
      <c r="P127" s="81" t="str">
        <f t="shared" ca="1" si="9"/>
        <v/>
      </c>
      <c r="Q127" s="81" t="str">
        <f t="shared" ca="1" si="10"/>
        <v/>
      </c>
      <c r="R127" s="39"/>
      <c r="S127" s="83"/>
      <c r="T127" s="84"/>
      <c r="U127" s="83"/>
      <c r="V127" s="84"/>
      <c r="Z127" s="39"/>
      <c r="AA127" s="39"/>
      <c r="AB127" s="39"/>
      <c r="AC127" s="39"/>
      <c r="AD127" s="39"/>
      <c r="AE127" s="39"/>
      <c r="AF127" s="39"/>
      <c r="AO127" s="39"/>
      <c r="AP127" s="39"/>
      <c r="AQ127" s="39"/>
      <c r="AR127" s="39"/>
      <c r="AS127" s="39"/>
      <c r="AT127" s="39"/>
      <c r="AU127" s="39"/>
      <c r="AV127" s="39"/>
      <c r="AW127" s="39"/>
      <c r="AX127" s="39"/>
      <c r="AY127" s="39"/>
      <c r="AZ127" s="39"/>
      <c r="BA127" s="39"/>
      <c r="BB127" s="39"/>
      <c r="BC127" s="39"/>
    </row>
    <row r="128" spans="2:55" s="69" customFormat="1" x14ac:dyDescent="0.25">
      <c r="B128" s="68" t="str">
        <f ca="1">IFERROR(INDEX('Points Lookup'!$A:$A,MATCH($AA130,'Points Lookup'!$AN:$AN,0)),"")</f>
        <v/>
      </c>
      <c r="C128" s="81" t="str">
        <f ca="1">IF(B128="","",SUMIF(INDIRECT("'Points Lookup'!"&amp;VLOOKUP($B$2,Grades!A:BU,72,FALSE)&amp;":"&amp;VLOOKUP($B$2,Grades!A:BU,72,FALSE)),B128,INDIRECT("'Points Lookup'!"&amp;VLOOKUP($B$2,Grades!A:BU,73,FALSE)&amp;":"&amp;VLOOKUP($B$2,Grades!A:BU,73,FALSE))))</f>
        <v/>
      </c>
      <c r="D128" s="81"/>
      <c r="E128" s="81"/>
      <c r="F128" s="81" t="str">
        <f ca="1">IF($B128="","",IF(SUMIF(Grades!$A:$A,$B$2,Grades!$BO:$BO)=0,"-",IF(AND(VLOOKUP($B$2,Grades!$A:$BV,74,FALSE)="YES",B128&lt;Thresholds_Rates!$C$16),"-",$C128*Thresholds_Rates!$F$15)))</f>
        <v/>
      </c>
      <c r="G128" s="81" t="str">
        <f ca="1">IF(B128="","",IF($B$2="Salary Points 1 to 57","-",IF(SUMIF(Grades!$A:$A,$B$2,Grades!$BP:$BP)=0,"-",IF(AND(OR($B$2="New Consultant Contract"),$B128&lt;&gt;""),$C128*Thresholds_Rates!$F$16,IF(AND(OR($B$2="Clinical Lecturer / Medical Research Fellow",$B$2="Clinical Consultant - Old Contract (GP)"),$B128&lt;&gt;""),$C128*Thresholds_Rates!$F$16,IF(AND(OR($B$2="APM Level 7",$B$2="R&amp;T Level 7"),F128&lt;&gt;""),$C128*Thresholds_Rates!$F$16,IF(SUMIF(Grades!$A:$A,$B$2,Grades!$BP:$BP)=1,$C128*Thresholds_Rates!$F$16,"")))))))</f>
        <v/>
      </c>
      <c r="H128" s="81" t="str">
        <f ca="1">IF(B128="","",IF(SUMIF(Grades!$A:$A,$B$2,Grades!$BQ:$BQ)=0,"-",IF(AND($B$2="Salary Points 1 to 57",B128&gt;Thresholds_Rates!$C$17),"-",IF(AND($B$2="Salary Points 1 to 57",B128&lt;=Thresholds_Rates!$C$17),$C128*Thresholds_Rates!$F$17,IF(AND(OR($B$2="New Consultant Contract"),$B128&lt;&gt;""),$C128*Thresholds_Rates!$F$17,IF(AND(OR($B$2="Clinical Lecturer / Medical Research Fellow",$B$2="Clinical Consultant - Old Contract (GP)"),$B128&lt;&gt;""),$C128*Thresholds_Rates!$F$17,IF(AND(OR($B$2="APM Level 7",$B$2="R&amp;T Level 7"),G128&lt;&gt;""),$C128*Thresholds_Rates!$F$17,IF(SUMIF(Grades!$A:$A,$B$2,Grades!$BQ:$BQ)=1,$C128*Thresholds_Rates!$F$17,""))))))))</f>
        <v/>
      </c>
      <c r="I128" s="81"/>
      <c r="J128" s="81" t="str">
        <f ca="1">IF(B128="","",(C128*Thresholds_Rates!$C$12))</f>
        <v/>
      </c>
      <c r="K128" s="81"/>
      <c r="L128" s="68"/>
      <c r="M128" s="81" t="str">
        <f t="shared" ca="1" si="6"/>
        <v/>
      </c>
      <c r="N128" s="81" t="str">
        <f t="shared" ca="1" si="7"/>
        <v/>
      </c>
      <c r="O128" s="81" t="str">
        <f t="shared" ca="1" si="8"/>
        <v/>
      </c>
      <c r="P128" s="81" t="str">
        <f t="shared" ca="1" si="9"/>
        <v/>
      </c>
      <c r="Q128" s="81" t="str">
        <f t="shared" ca="1" si="10"/>
        <v/>
      </c>
      <c r="R128" s="39"/>
      <c r="S128" s="83"/>
      <c r="T128" s="84"/>
      <c r="U128" s="83"/>
      <c r="V128" s="84"/>
      <c r="Z128" s="39"/>
      <c r="AA128" s="39"/>
      <c r="AB128" s="39"/>
      <c r="AC128" s="39"/>
      <c r="AD128" s="39"/>
      <c r="AE128" s="39"/>
      <c r="AF128" s="39"/>
      <c r="AO128" s="39"/>
      <c r="AP128" s="39"/>
      <c r="AQ128" s="39"/>
      <c r="AR128" s="39"/>
      <c r="AS128" s="39"/>
      <c r="AT128" s="39"/>
      <c r="AU128" s="39"/>
      <c r="AV128" s="39"/>
      <c r="AW128" s="39"/>
      <c r="AX128" s="39"/>
      <c r="AY128" s="39"/>
      <c r="AZ128" s="39"/>
      <c r="BA128" s="39"/>
      <c r="BB128" s="39"/>
      <c r="BC128" s="39"/>
    </row>
    <row r="129" spans="2:55" s="69" customFormat="1" x14ac:dyDescent="0.25">
      <c r="B129" s="68" t="str">
        <f ca="1">IFERROR(INDEX('Points Lookup'!$A:$A,MATCH($AA131,'Points Lookup'!$AN:$AN,0)),"")</f>
        <v/>
      </c>
      <c r="C129" s="81" t="str">
        <f ca="1">IF(B129="","",SUMIF(INDIRECT("'Points Lookup'!"&amp;VLOOKUP($B$2,Grades!A:BU,72,FALSE)&amp;":"&amp;VLOOKUP($B$2,Grades!A:BU,72,FALSE)),B129,INDIRECT("'Points Lookup'!"&amp;VLOOKUP($B$2,Grades!A:BU,73,FALSE)&amp;":"&amp;VLOOKUP($B$2,Grades!A:BU,73,FALSE))))</f>
        <v/>
      </c>
      <c r="D129" s="81"/>
      <c r="E129" s="81"/>
      <c r="F129" s="81" t="str">
        <f ca="1">IF($B129="","",IF(SUMIF(Grades!$A:$A,$B$2,Grades!$BO:$BO)=0,"-",IF(AND(VLOOKUP($B$2,Grades!$A:$BV,74,FALSE)="YES",B129&lt;Thresholds_Rates!$C$16),"-",$C129*Thresholds_Rates!$F$15)))</f>
        <v/>
      </c>
      <c r="G129" s="81" t="str">
        <f ca="1">IF(B129="","",IF($B$2="Salary Points 1 to 57","-",IF(SUMIF(Grades!$A:$A,$B$2,Grades!$BP:$BP)=0,"-",IF(AND(OR($B$2="New Consultant Contract"),$B129&lt;&gt;""),$C129*Thresholds_Rates!$F$16,IF(AND(OR($B$2="Clinical Lecturer / Medical Research Fellow",$B$2="Clinical Consultant - Old Contract (GP)"),$B129&lt;&gt;""),$C129*Thresholds_Rates!$F$16,IF(AND(OR($B$2="APM Level 7",$B$2="R&amp;T Level 7"),F129&lt;&gt;""),$C129*Thresholds_Rates!$F$16,IF(SUMIF(Grades!$A:$A,$B$2,Grades!$BP:$BP)=1,$C129*Thresholds_Rates!$F$16,"")))))))</f>
        <v/>
      </c>
      <c r="H129" s="81" t="str">
        <f ca="1">IF(B129="","",IF(SUMIF(Grades!$A:$A,$B$2,Grades!$BQ:$BQ)=0,"-",IF(AND($B$2="Salary Points 1 to 57",B129&gt;Thresholds_Rates!$C$17),"-",IF(AND($B$2="Salary Points 1 to 57",B129&lt;=Thresholds_Rates!$C$17),$C129*Thresholds_Rates!$F$17,IF(AND(OR($B$2="New Consultant Contract"),$B129&lt;&gt;""),$C129*Thresholds_Rates!$F$17,IF(AND(OR($B$2="Clinical Lecturer / Medical Research Fellow",$B$2="Clinical Consultant - Old Contract (GP)"),$B129&lt;&gt;""),$C129*Thresholds_Rates!$F$17,IF(AND(OR($B$2="APM Level 7",$B$2="R&amp;T Level 7"),G129&lt;&gt;""),$C129*Thresholds_Rates!$F$17,IF(SUMIF(Grades!$A:$A,$B$2,Grades!$BQ:$BQ)=1,$C129*Thresholds_Rates!$F$17,""))))))))</f>
        <v/>
      </c>
      <c r="I129" s="81"/>
      <c r="J129" s="81" t="str">
        <f ca="1">IF(B129="","",(C129*Thresholds_Rates!$C$12))</f>
        <v/>
      </c>
      <c r="K129" s="81"/>
      <c r="L129" s="68"/>
      <c r="M129" s="81" t="str">
        <f t="shared" ca="1" si="6"/>
        <v/>
      </c>
      <c r="N129" s="81" t="str">
        <f t="shared" ca="1" si="7"/>
        <v/>
      </c>
      <c r="O129" s="81" t="str">
        <f t="shared" ca="1" si="8"/>
        <v/>
      </c>
      <c r="P129" s="81" t="str">
        <f t="shared" ca="1" si="9"/>
        <v/>
      </c>
      <c r="Q129" s="81" t="str">
        <f t="shared" ca="1" si="10"/>
        <v/>
      </c>
      <c r="R129" s="39"/>
      <c r="S129" s="83"/>
      <c r="T129" s="84"/>
      <c r="U129" s="83"/>
      <c r="V129" s="84"/>
      <c r="Z129" s="39"/>
      <c r="AA129" s="39"/>
      <c r="AB129" s="39"/>
      <c r="AC129" s="39"/>
      <c r="AD129" s="39"/>
      <c r="AE129" s="39"/>
      <c r="AF129" s="39"/>
      <c r="AO129" s="39"/>
      <c r="AP129" s="39"/>
      <c r="AQ129" s="39"/>
      <c r="AR129" s="39"/>
      <c r="AS129" s="39"/>
      <c r="AT129" s="39"/>
      <c r="AU129" s="39"/>
      <c r="AV129" s="39"/>
      <c r="AW129" s="39"/>
      <c r="AX129" s="39"/>
      <c r="AY129" s="39"/>
      <c r="AZ129" s="39"/>
      <c r="BA129" s="39"/>
      <c r="BB129" s="39"/>
      <c r="BC129" s="39"/>
    </row>
    <row r="130" spans="2:55" s="69" customFormat="1" x14ac:dyDescent="0.25">
      <c r="B130" s="68" t="str">
        <f ca="1">IFERROR(INDEX('Points Lookup'!$A:$A,MATCH($AA132,'Points Lookup'!$AN:$AN,0)),"")</f>
        <v/>
      </c>
      <c r="C130" s="81" t="str">
        <f ca="1">IF(B130="","",SUMIF(INDIRECT("'Points Lookup'!"&amp;VLOOKUP($B$2,Grades!A:BU,72,FALSE)&amp;":"&amp;VLOOKUP($B$2,Grades!A:BU,72,FALSE)),B130,INDIRECT("'Points Lookup'!"&amp;VLOOKUP($B$2,Grades!A:BU,73,FALSE)&amp;":"&amp;VLOOKUP($B$2,Grades!A:BU,73,FALSE))))</f>
        <v/>
      </c>
      <c r="D130" s="81"/>
      <c r="E130" s="81"/>
      <c r="F130" s="81" t="str">
        <f ca="1">IF($B130="","",IF(SUMIF(Grades!$A:$A,$B$2,Grades!$BO:$BO)=0,"-",IF(AND(VLOOKUP($B$2,Grades!$A:$BV,74,FALSE)="YES",B130&lt;Thresholds_Rates!$C$16),"-",$C130*Thresholds_Rates!$F$15)))</f>
        <v/>
      </c>
      <c r="G130" s="81" t="str">
        <f ca="1">IF(B130="","",IF($B$2="Salary Points 1 to 57","-",IF(SUMIF(Grades!$A:$A,$B$2,Grades!$BP:$BP)=0,"-",IF(AND(OR($B$2="New Consultant Contract"),$B130&lt;&gt;""),$C130*Thresholds_Rates!$F$16,IF(AND(OR($B$2="Clinical Lecturer / Medical Research Fellow",$B$2="Clinical Consultant - Old Contract (GP)"),$B130&lt;&gt;""),$C130*Thresholds_Rates!$F$16,IF(AND(OR($B$2="APM Level 7",$B$2="R&amp;T Level 7"),F130&lt;&gt;""),$C130*Thresholds_Rates!$F$16,IF(SUMIF(Grades!$A:$A,$B$2,Grades!$BP:$BP)=1,$C130*Thresholds_Rates!$F$16,"")))))))</f>
        <v/>
      </c>
      <c r="H130" s="81" t="str">
        <f ca="1">IF(B130="","",IF(SUMIF(Grades!$A:$A,$B$2,Grades!$BQ:$BQ)=0,"-",IF(AND($B$2="Salary Points 1 to 57",B130&gt;Thresholds_Rates!$C$17),"-",IF(AND($B$2="Salary Points 1 to 57",B130&lt;=Thresholds_Rates!$C$17),$C130*Thresholds_Rates!$F$17,IF(AND(OR($B$2="New Consultant Contract"),$B130&lt;&gt;""),$C130*Thresholds_Rates!$F$17,IF(AND(OR($B$2="Clinical Lecturer / Medical Research Fellow",$B$2="Clinical Consultant - Old Contract (GP)"),$B130&lt;&gt;""),$C130*Thresholds_Rates!$F$17,IF(AND(OR($B$2="APM Level 7",$B$2="R&amp;T Level 7"),G130&lt;&gt;""),$C130*Thresholds_Rates!$F$17,IF(SUMIF(Grades!$A:$A,$B$2,Grades!$BQ:$BQ)=1,$C130*Thresholds_Rates!$F$17,""))))))))</f>
        <v/>
      </c>
      <c r="I130" s="81"/>
      <c r="J130" s="81" t="str">
        <f ca="1">IF(B130="","",(C130*Thresholds_Rates!$C$12))</f>
        <v/>
      </c>
      <c r="K130" s="81"/>
      <c r="L130" s="68"/>
      <c r="M130" s="81" t="str">
        <f t="shared" ca="1" si="6"/>
        <v/>
      </c>
      <c r="N130" s="81" t="str">
        <f t="shared" ca="1" si="7"/>
        <v/>
      </c>
      <c r="O130" s="81" t="str">
        <f t="shared" ca="1" si="8"/>
        <v/>
      </c>
      <c r="P130" s="81" t="str">
        <f t="shared" ca="1" si="9"/>
        <v/>
      </c>
      <c r="Q130" s="81" t="str">
        <f t="shared" ca="1" si="10"/>
        <v/>
      </c>
      <c r="R130" s="39"/>
      <c r="S130" s="83"/>
      <c r="T130" s="84"/>
      <c r="U130" s="83"/>
      <c r="V130" s="84"/>
      <c r="Z130" s="39"/>
      <c r="AA130" s="39"/>
      <c r="AB130" s="39"/>
      <c r="AC130" s="39"/>
      <c r="AD130" s="39"/>
      <c r="AE130" s="39"/>
      <c r="AF130" s="39"/>
      <c r="AO130" s="39"/>
      <c r="AP130" s="39"/>
      <c r="AQ130" s="39"/>
      <c r="AR130" s="39"/>
      <c r="AS130" s="39"/>
      <c r="AT130" s="39"/>
      <c r="AU130" s="39"/>
      <c r="AV130" s="39"/>
      <c r="AW130" s="39"/>
      <c r="AX130" s="39"/>
      <c r="AY130" s="39"/>
      <c r="AZ130" s="39"/>
      <c r="BA130" s="39"/>
      <c r="BB130" s="39"/>
      <c r="BC130" s="39"/>
    </row>
    <row r="131" spans="2:55" s="69" customFormat="1" x14ac:dyDescent="0.25">
      <c r="B131" s="68" t="str">
        <f ca="1">IFERROR(INDEX('Points Lookup'!$A:$A,MATCH($AA133,'Points Lookup'!$AN:$AN,0)),"")</f>
        <v/>
      </c>
      <c r="C131" s="81" t="str">
        <f ca="1">IF(B131="","",SUMIF(INDIRECT("'Points Lookup'!"&amp;VLOOKUP($B$2,Grades!A:BU,72,FALSE)&amp;":"&amp;VLOOKUP($B$2,Grades!A:BU,72,FALSE)),B131,INDIRECT("'Points Lookup'!"&amp;VLOOKUP($B$2,Grades!A:BU,73,FALSE)&amp;":"&amp;VLOOKUP($B$2,Grades!A:BU,73,FALSE))))</f>
        <v/>
      </c>
      <c r="D131" s="81"/>
      <c r="E131" s="81"/>
      <c r="F131" s="81" t="str">
        <f ca="1">IF($B131="","",IF(SUMIF(Grades!$A:$A,$B$2,Grades!$BO:$BO)=0,"-",IF(AND(VLOOKUP($B$2,Grades!$A:$BV,74,FALSE)="YES",B131&lt;Thresholds_Rates!$C$16),"-",$C131*Thresholds_Rates!$F$15)))</f>
        <v/>
      </c>
      <c r="G131" s="81" t="str">
        <f ca="1">IF(B131="","",IF($B$2="Salary Points 1 to 57","-",IF(SUMIF(Grades!$A:$A,$B$2,Grades!$BP:$BP)=0,"-",IF(AND(OR($B$2="New Consultant Contract"),$B131&lt;&gt;""),$C131*Thresholds_Rates!$F$16,IF(AND(OR($B$2="Clinical Lecturer / Medical Research Fellow",$B$2="Clinical Consultant - Old Contract (GP)"),$B131&lt;&gt;""),$C131*Thresholds_Rates!$F$16,IF(AND(OR($B$2="APM Level 7",$B$2="R&amp;T Level 7"),F131&lt;&gt;""),$C131*Thresholds_Rates!$F$16,IF(SUMIF(Grades!$A:$A,$B$2,Grades!$BP:$BP)=1,$C131*Thresholds_Rates!$F$16,"")))))))</f>
        <v/>
      </c>
      <c r="H131" s="81" t="str">
        <f ca="1">IF(B131="","",IF(SUMIF(Grades!$A:$A,$B$2,Grades!$BQ:$BQ)=0,"-",IF(AND($B$2="Salary Points 1 to 57",B131&gt;Thresholds_Rates!$C$17),"-",IF(AND($B$2="Salary Points 1 to 57",B131&lt;=Thresholds_Rates!$C$17),$C131*Thresholds_Rates!$F$17,IF(AND(OR($B$2="New Consultant Contract"),$B131&lt;&gt;""),$C131*Thresholds_Rates!$F$17,IF(AND(OR($B$2="Clinical Lecturer / Medical Research Fellow",$B$2="Clinical Consultant - Old Contract (GP)"),$B131&lt;&gt;""),$C131*Thresholds_Rates!$F$17,IF(AND(OR($B$2="APM Level 7",$B$2="R&amp;T Level 7"),G131&lt;&gt;""),$C131*Thresholds_Rates!$F$17,IF(SUMIF(Grades!$A:$A,$B$2,Grades!$BQ:$BQ)=1,$C131*Thresholds_Rates!$F$17,""))))))))</f>
        <v/>
      </c>
      <c r="I131" s="81"/>
      <c r="J131" s="81" t="str">
        <f ca="1">IF(B131="","",(C131*Thresholds_Rates!$C$12))</f>
        <v/>
      </c>
      <c r="K131" s="81"/>
      <c r="L131" s="68"/>
      <c r="M131" s="81" t="str">
        <f t="shared" ca="1" si="6"/>
        <v/>
      </c>
      <c r="N131" s="81" t="str">
        <f t="shared" ca="1" si="7"/>
        <v/>
      </c>
      <c r="O131" s="81" t="str">
        <f t="shared" ca="1" si="8"/>
        <v/>
      </c>
      <c r="P131" s="81" t="str">
        <f t="shared" ca="1" si="9"/>
        <v/>
      </c>
      <c r="Q131" s="81" t="str">
        <f t="shared" ca="1" si="10"/>
        <v/>
      </c>
      <c r="R131" s="39"/>
      <c r="S131" s="83"/>
      <c r="T131" s="84"/>
      <c r="U131" s="83"/>
      <c r="V131" s="84"/>
      <c r="Z131" s="39"/>
      <c r="AA131" s="39"/>
      <c r="AB131" s="39"/>
      <c r="AC131" s="39"/>
      <c r="AD131" s="39"/>
      <c r="AE131" s="39"/>
      <c r="AF131" s="39"/>
      <c r="AO131" s="39"/>
      <c r="AP131" s="39"/>
      <c r="AQ131" s="39"/>
      <c r="AR131" s="39"/>
      <c r="AS131" s="39"/>
      <c r="AT131" s="39"/>
      <c r="AU131" s="39"/>
      <c r="AV131" s="39"/>
      <c r="AW131" s="39"/>
      <c r="AX131" s="39"/>
      <c r="AY131" s="39"/>
      <c r="AZ131" s="39"/>
      <c r="BA131" s="39"/>
      <c r="BB131" s="39"/>
      <c r="BC131" s="39"/>
    </row>
    <row r="132" spans="2:55" s="69" customFormat="1" x14ac:dyDescent="0.25">
      <c r="B132" s="68" t="str">
        <f ca="1">IFERROR(INDEX('Points Lookup'!$A:$A,MATCH($AA134,'Points Lookup'!$AN:$AN,0)),"")</f>
        <v/>
      </c>
      <c r="C132" s="81" t="str">
        <f ca="1">IF(B132="","",SUMIF(INDIRECT("'Points Lookup'!"&amp;VLOOKUP($B$2,Grades!A:BU,72,FALSE)&amp;":"&amp;VLOOKUP($B$2,Grades!A:BU,72,FALSE)),B132,INDIRECT("'Points Lookup'!"&amp;VLOOKUP($B$2,Grades!A:BU,73,FALSE)&amp;":"&amp;VLOOKUP($B$2,Grades!A:BU,73,FALSE))))</f>
        <v/>
      </c>
      <c r="D132" s="81"/>
      <c r="E132" s="81"/>
      <c r="F132" s="81" t="str">
        <f ca="1">IF($B132="","",IF(SUMIF(Grades!$A:$A,$B$2,Grades!$BO:$BO)=0,"-",IF(AND(VLOOKUP($B$2,Grades!$A:$BV,74,FALSE)="YES",B132&lt;Thresholds_Rates!$C$16),"-",$C132*Thresholds_Rates!$F$15)))</f>
        <v/>
      </c>
      <c r="G132" s="81" t="str">
        <f ca="1">IF(B132="","",IF($B$2="Salary Points 1 to 57","-",IF(SUMIF(Grades!$A:$A,$B$2,Grades!$BP:$BP)=0,"-",IF(AND(OR($B$2="New Consultant Contract"),$B132&lt;&gt;""),$C132*Thresholds_Rates!$F$16,IF(AND(OR($B$2="Clinical Lecturer / Medical Research Fellow",$B$2="Clinical Consultant - Old Contract (GP)"),$B132&lt;&gt;""),$C132*Thresholds_Rates!$F$16,IF(AND(OR($B$2="APM Level 7",$B$2="R&amp;T Level 7"),F132&lt;&gt;""),$C132*Thresholds_Rates!$F$16,IF(SUMIF(Grades!$A:$A,$B$2,Grades!$BP:$BP)=1,$C132*Thresholds_Rates!$F$16,"")))))))</f>
        <v/>
      </c>
      <c r="H132" s="81" t="str">
        <f ca="1">IF(B132="","",IF(SUMIF(Grades!$A:$A,$B$2,Grades!$BQ:$BQ)=0,"-",IF(AND($B$2="Salary Points 1 to 57",B132&gt;Thresholds_Rates!$C$17),"-",IF(AND($B$2="Salary Points 1 to 57",B132&lt;=Thresholds_Rates!$C$17),$C132*Thresholds_Rates!$F$17,IF(AND(OR($B$2="New Consultant Contract"),$B132&lt;&gt;""),$C132*Thresholds_Rates!$F$17,IF(AND(OR($B$2="Clinical Lecturer / Medical Research Fellow",$B$2="Clinical Consultant - Old Contract (GP)"),$B132&lt;&gt;""),$C132*Thresholds_Rates!$F$17,IF(AND(OR($B$2="APM Level 7",$B$2="R&amp;T Level 7"),G132&lt;&gt;""),$C132*Thresholds_Rates!$F$17,IF(SUMIF(Grades!$A:$A,$B$2,Grades!$BQ:$BQ)=1,$C132*Thresholds_Rates!$F$17,""))))))))</f>
        <v/>
      </c>
      <c r="I132" s="81"/>
      <c r="J132" s="81" t="str">
        <f ca="1">IF(B132="","",(C132*Thresholds_Rates!$C$12))</f>
        <v/>
      </c>
      <c r="K132" s="81"/>
      <c r="L132" s="68"/>
      <c r="M132" s="81" t="str">
        <f t="shared" ca="1" si="6"/>
        <v/>
      </c>
      <c r="N132" s="81" t="str">
        <f t="shared" ca="1" si="7"/>
        <v/>
      </c>
      <c r="O132" s="81" t="str">
        <f t="shared" ca="1" si="8"/>
        <v/>
      </c>
      <c r="P132" s="81" t="str">
        <f t="shared" ca="1" si="9"/>
        <v/>
      </c>
      <c r="Q132" s="81" t="str">
        <f t="shared" ca="1" si="10"/>
        <v/>
      </c>
      <c r="R132" s="39"/>
      <c r="S132" s="83"/>
      <c r="T132" s="84"/>
      <c r="U132" s="83"/>
      <c r="V132" s="84"/>
      <c r="Z132" s="39"/>
      <c r="AA132" s="39"/>
      <c r="AB132" s="39"/>
      <c r="AC132" s="39"/>
      <c r="AD132" s="39"/>
      <c r="AE132" s="39"/>
      <c r="AF132" s="39"/>
      <c r="AO132" s="39"/>
      <c r="AP132" s="39"/>
      <c r="AQ132" s="39"/>
      <c r="AR132" s="39"/>
      <c r="AS132" s="39"/>
      <c r="AT132" s="39"/>
      <c r="AU132" s="39"/>
      <c r="AV132" s="39"/>
      <c r="AW132" s="39"/>
      <c r="AX132" s="39"/>
      <c r="AY132" s="39"/>
      <c r="AZ132" s="39"/>
      <c r="BA132" s="39"/>
      <c r="BB132" s="39"/>
      <c r="BC132" s="39"/>
    </row>
    <row r="133" spans="2:55" s="69" customFormat="1" x14ac:dyDescent="0.25">
      <c r="B133" s="68" t="str">
        <f ca="1">IFERROR(INDEX('Points Lookup'!$A:$A,MATCH($AA135,'Points Lookup'!$AN:$AN,0)),"")</f>
        <v/>
      </c>
      <c r="C133" s="81" t="str">
        <f ca="1">IF(B133="","",SUMIF(INDIRECT("'Points Lookup'!"&amp;VLOOKUP($B$2,Grades!A:BU,72,FALSE)&amp;":"&amp;VLOOKUP($B$2,Grades!A:BU,72,FALSE)),B133,INDIRECT("'Points Lookup'!"&amp;VLOOKUP($B$2,Grades!A:BU,73,FALSE)&amp;":"&amp;VLOOKUP($B$2,Grades!A:BU,73,FALSE))))</f>
        <v/>
      </c>
      <c r="D133" s="81"/>
      <c r="E133" s="81"/>
      <c r="F133" s="81" t="str">
        <f ca="1">IF($B133="","",IF(SUMIF(Grades!$A:$A,$B$2,Grades!$BO:$BO)=0,"-",IF(AND(VLOOKUP($B$2,Grades!$A:$BV,74,FALSE)="YES",B133&lt;Thresholds_Rates!$C$16),"-",$C133*Thresholds_Rates!$F$15)))</f>
        <v/>
      </c>
      <c r="G133" s="81" t="str">
        <f ca="1">IF(B133="","",IF($B$2="Salary Points 1 to 57","-",IF(SUMIF(Grades!$A:$A,$B$2,Grades!$BP:$BP)=0,"-",IF(AND(OR($B$2="New Consultant Contract"),$B133&lt;&gt;""),$C133*Thresholds_Rates!$F$16,IF(AND(OR($B$2="Clinical Lecturer / Medical Research Fellow",$B$2="Clinical Consultant - Old Contract (GP)"),$B133&lt;&gt;""),$C133*Thresholds_Rates!$F$16,IF(AND(OR($B$2="APM Level 7",$B$2="R&amp;T Level 7"),F133&lt;&gt;""),$C133*Thresholds_Rates!$F$16,IF(SUMIF(Grades!$A:$A,$B$2,Grades!$BP:$BP)=1,$C133*Thresholds_Rates!$F$16,"")))))))</f>
        <v/>
      </c>
      <c r="H133" s="81" t="str">
        <f ca="1">IF(B133="","",IF(SUMIF(Grades!$A:$A,$B$2,Grades!$BQ:$BQ)=0,"-",IF(AND($B$2="Salary Points 1 to 57",B133&gt;Thresholds_Rates!$C$17),"-",IF(AND($B$2="Salary Points 1 to 57",B133&lt;=Thresholds_Rates!$C$17),$C133*Thresholds_Rates!$F$17,IF(AND(OR($B$2="New Consultant Contract"),$B133&lt;&gt;""),$C133*Thresholds_Rates!$F$17,IF(AND(OR($B$2="Clinical Lecturer / Medical Research Fellow",$B$2="Clinical Consultant - Old Contract (GP)"),$B133&lt;&gt;""),$C133*Thresholds_Rates!$F$17,IF(AND(OR($B$2="APM Level 7",$B$2="R&amp;T Level 7"),G133&lt;&gt;""),$C133*Thresholds_Rates!$F$17,IF(SUMIF(Grades!$A:$A,$B$2,Grades!$BQ:$BQ)=1,$C133*Thresholds_Rates!$F$17,""))))))))</f>
        <v/>
      </c>
      <c r="I133" s="81"/>
      <c r="J133" s="81" t="str">
        <f ca="1">IF(B133="","",(C133*Thresholds_Rates!$C$12))</f>
        <v/>
      </c>
      <c r="K133" s="81"/>
      <c r="L133" s="68"/>
      <c r="M133" s="81" t="str">
        <f t="shared" ca="1" si="6"/>
        <v/>
      </c>
      <c r="N133" s="81" t="str">
        <f t="shared" ca="1" si="7"/>
        <v/>
      </c>
      <c r="O133" s="81" t="str">
        <f t="shared" ca="1" si="8"/>
        <v/>
      </c>
      <c r="P133" s="81" t="str">
        <f t="shared" ca="1" si="9"/>
        <v/>
      </c>
      <c r="Q133" s="81" t="str">
        <f t="shared" ca="1" si="10"/>
        <v/>
      </c>
      <c r="R133" s="39"/>
      <c r="S133" s="83"/>
      <c r="T133" s="84"/>
      <c r="U133" s="83"/>
      <c r="V133" s="84"/>
      <c r="Z133" s="39"/>
      <c r="AA133" s="39"/>
      <c r="AB133" s="39"/>
      <c r="AC133" s="39"/>
      <c r="AD133" s="39"/>
      <c r="AE133" s="39"/>
      <c r="AF133" s="39"/>
      <c r="AO133" s="39"/>
      <c r="AP133" s="39"/>
      <c r="AQ133" s="39"/>
      <c r="AR133" s="39"/>
      <c r="AS133" s="39"/>
      <c r="AT133" s="39"/>
      <c r="AU133" s="39"/>
      <c r="AV133" s="39"/>
      <c r="AW133" s="39"/>
      <c r="AX133" s="39"/>
      <c r="AY133" s="39"/>
      <c r="AZ133" s="39"/>
      <c r="BA133" s="39"/>
      <c r="BB133" s="39"/>
      <c r="BC133" s="39"/>
    </row>
    <row r="134" spans="2:55" s="69" customFormat="1" x14ac:dyDescent="0.25">
      <c r="B134" s="68" t="str">
        <f ca="1">IFERROR(INDEX('Points Lookup'!$A:$A,MATCH($AA136,'Points Lookup'!$AN:$AN,0)),"")</f>
        <v/>
      </c>
      <c r="C134" s="81" t="str">
        <f ca="1">IF(B134="","",SUMIF(INDIRECT("'Points Lookup'!"&amp;VLOOKUP($B$2,Grades!A:BU,72,FALSE)&amp;":"&amp;VLOOKUP($B$2,Grades!A:BU,72,FALSE)),B134,INDIRECT("'Points Lookup'!"&amp;VLOOKUP($B$2,Grades!A:BU,73,FALSE)&amp;":"&amp;VLOOKUP($B$2,Grades!A:BU,73,FALSE))))</f>
        <v/>
      </c>
      <c r="D134" s="81"/>
      <c r="E134" s="81"/>
      <c r="F134" s="81" t="str">
        <f ca="1">IF($B134="","",IF(SUMIF(Grades!$A:$A,$B$2,Grades!$BO:$BO)=0,"-",IF(AND(VLOOKUP($B$2,Grades!$A:$BV,74,FALSE)="YES",B134&lt;Thresholds_Rates!$C$16),"-",$C134*Thresholds_Rates!$F$15)))</f>
        <v/>
      </c>
      <c r="G134" s="81" t="str">
        <f ca="1">IF(B134="","",IF($B$2="Salary Points 1 to 57","-",IF(SUMIF(Grades!$A:$A,$B$2,Grades!$BP:$BP)=0,"-",IF(AND(OR($B$2="New Consultant Contract"),$B134&lt;&gt;""),$C134*Thresholds_Rates!$F$16,IF(AND(OR($B$2="Clinical Lecturer / Medical Research Fellow",$B$2="Clinical Consultant - Old Contract (GP)"),$B134&lt;&gt;""),$C134*Thresholds_Rates!$F$16,IF(AND(OR($B$2="APM Level 7",$B$2="R&amp;T Level 7"),F134&lt;&gt;""),$C134*Thresholds_Rates!$F$16,IF(SUMIF(Grades!$A:$A,$B$2,Grades!$BP:$BP)=1,$C134*Thresholds_Rates!$F$16,"")))))))</f>
        <v/>
      </c>
      <c r="H134" s="81" t="str">
        <f ca="1">IF(B134="","",IF(SUMIF(Grades!$A:$A,$B$2,Grades!$BQ:$BQ)=0,"-",IF(AND($B$2="Salary Points 1 to 57",B134&gt;Thresholds_Rates!$C$17),"-",IF(AND($B$2="Salary Points 1 to 57",B134&lt;=Thresholds_Rates!$C$17),$C134*Thresholds_Rates!$F$17,IF(AND(OR($B$2="New Consultant Contract"),$B134&lt;&gt;""),$C134*Thresholds_Rates!$F$17,IF(AND(OR($B$2="Clinical Lecturer / Medical Research Fellow",$B$2="Clinical Consultant - Old Contract (GP)"),$B134&lt;&gt;""),$C134*Thresholds_Rates!$F$17,IF(AND(OR($B$2="APM Level 7",$B$2="R&amp;T Level 7"),G134&lt;&gt;""),$C134*Thresholds_Rates!$F$17,IF(SUMIF(Grades!$A:$A,$B$2,Grades!$BQ:$BQ)=1,$C134*Thresholds_Rates!$F$17,""))))))))</f>
        <v/>
      </c>
      <c r="I134" s="81"/>
      <c r="J134" s="81" t="str">
        <f ca="1">IF(B134="","",(C134*Thresholds_Rates!$C$12))</f>
        <v/>
      </c>
      <c r="K134" s="81"/>
      <c r="L134" s="68"/>
      <c r="M134" s="81" t="str">
        <f t="shared" ca="1" si="6"/>
        <v/>
      </c>
      <c r="N134" s="81" t="str">
        <f t="shared" ca="1" si="7"/>
        <v/>
      </c>
      <c r="O134" s="81" t="str">
        <f t="shared" ca="1" si="8"/>
        <v/>
      </c>
      <c r="P134" s="81" t="str">
        <f t="shared" ca="1" si="9"/>
        <v/>
      </c>
      <c r="Q134" s="81" t="str">
        <f t="shared" ca="1" si="10"/>
        <v/>
      </c>
      <c r="R134" s="39"/>
      <c r="S134" s="83"/>
      <c r="T134" s="84"/>
      <c r="U134" s="83"/>
      <c r="V134" s="84"/>
      <c r="Z134" s="39"/>
      <c r="AA134" s="39"/>
      <c r="AB134" s="39"/>
      <c r="AC134" s="39"/>
      <c r="AD134" s="39"/>
      <c r="AE134" s="39"/>
      <c r="AF134" s="39"/>
      <c r="AO134" s="39"/>
      <c r="AP134" s="39"/>
      <c r="AQ134" s="39"/>
      <c r="AR134" s="39"/>
      <c r="AS134" s="39"/>
      <c r="AT134" s="39"/>
      <c r="AU134" s="39"/>
      <c r="AV134" s="39"/>
      <c r="AW134" s="39"/>
      <c r="AX134" s="39"/>
      <c r="AY134" s="39"/>
      <c r="AZ134" s="39"/>
      <c r="BA134" s="39"/>
      <c r="BB134" s="39"/>
      <c r="BC134" s="39"/>
    </row>
    <row r="135" spans="2:55" s="69" customFormat="1" x14ac:dyDescent="0.25">
      <c r="B135" s="68" t="str">
        <f ca="1">IFERROR(INDEX('Points Lookup'!$A:$A,MATCH($AA137,'Points Lookup'!$AN:$AN,0)),"")</f>
        <v/>
      </c>
      <c r="C135" s="81" t="str">
        <f ca="1">IF(B135="","",SUMIF(INDIRECT("'Points Lookup'!"&amp;VLOOKUP($B$2,Grades!A:BU,72,FALSE)&amp;":"&amp;VLOOKUP($B$2,Grades!A:BU,72,FALSE)),B135,INDIRECT("'Points Lookup'!"&amp;VLOOKUP($B$2,Grades!A:BU,73,FALSE)&amp;":"&amp;VLOOKUP($B$2,Grades!A:BU,73,FALSE))))</f>
        <v/>
      </c>
      <c r="D135" s="81"/>
      <c r="E135" s="81"/>
      <c r="F135" s="81" t="str">
        <f ca="1">IF($B135="","",IF(SUMIF(Grades!$A:$A,$B$2,Grades!$BO:$BO)=0,"-",IF(AND(VLOOKUP($B$2,Grades!$A:$BV,74,FALSE)="YES",B135&lt;Thresholds_Rates!$C$16),"-",$C135*Thresholds_Rates!$F$15)))</f>
        <v/>
      </c>
      <c r="G135" s="81" t="str">
        <f ca="1">IF(B135="","",IF($B$2="Salary Points 1 to 57","-",IF(SUMIF(Grades!$A:$A,$B$2,Grades!$BP:$BP)=0,"-",IF(AND(OR($B$2="New Consultant Contract"),$B135&lt;&gt;""),$C135*Thresholds_Rates!$F$16,IF(AND(OR($B$2="Clinical Lecturer / Medical Research Fellow",$B$2="Clinical Consultant - Old Contract (GP)"),$B135&lt;&gt;""),$C135*Thresholds_Rates!$F$16,IF(AND(OR($B$2="APM Level 7",$B$2="R&amp;T Level 7"),F135&lt;&gt;""),$C135*Thresholds_Rates!$F$16,IF(SUMIF(Grades!$A:$A,$B$2,Grades!$BP:$BP)=1,$C135*Thresholds_Rates!$F$16,"")))))))</f>
        <v/>
      </c>
      <c r="H135" s="81" t="str">
        <f ca="1">IF(B135="","",IF(SUMIF(Grades!$A:$A,$B$2,Grades!$BQ:$BQ)=0,"-",IF(AND($B$2="Salary Points 1 to 57",B135&gt;Thresholds_Rates!$C$17),"-",IF(AND($B$2="Salary Points 1 to 57",B135&lt;=Thresholds_Rates!$C$17),$C135*Thresholds_Rates!$F$17,IF(AND(OR($B$2="New Consultant Contract"),$B135&lt;&gt;""),$C135*Thresholds_Rates!$F$17,IF(AND(OR($B$2="Clinical Lecturer / Medical Research Fellow",$B$2="Clinical Consultant - Old Contract (GP)"),$B135&lt;&gt;""),$C135*Thresholds_Rates!$F$17,IF(AND(OR($B$2="APM Level 7",$B$2="R&amp;T Level 7"),G135&lt;&gt;""),$C135*Thresholds_Rates!$F$17,IF(SUMIF(Grades!$A:$A,$B$2,Grades!$BQ:$BQ)=1,$C135*Thresholds_Rates!$F$17,""))))))))</f>
        <v/>
      </c>
      <c r="I135" s="81"/>
      <c r="J135" s="81" t="str">
        <f ca="1">IF(B135="","",(C135*Thresholds_Rates!$C$12))</f>
        <v/>
      </c>
      <c r="K135" s="81"/>
      <c r="L135" s="68"/>
      <c r="M135" s="81" t="str">
        <f t="shared" ref="M135:M171" ca="1" si="12">IF(B135="","",IF(F135="-","-",$C135+$I135+F135+J135))</f>
        <v/>
      </c>
      <c r="N135" s="81" t="str">
        <f t="shared" ref="N135:N171" ca="1" si="13">IF(B135="","",IF(G135="-","-",$C135+$I135+G135+J135))</f>
        <v/>
      </c>
      <c r="O135" s="81" t="str">
        <f t="shared" ref="O135:O171" ca="1" si="14">IF(B135="","",IF(H135="-","-",$C135+$I135+H135+J135))</f>
        <v/>
      </c>
      <c r="P135" s="81" t="str">
        <f t="shared" ref="P135:P171" ca="1" si="15">IF(B135="","",IF(K135="-","-",$C135+$I135+K135+J135))</f>
        <v/>
      </c>
      <c r="Q135" s="81" t="str">
        <f t="shared" ref="Q135:Q171" ca="1" si="16">IF(B135="","",C135+I135+J135)</f>
        <v/>
      </c>
      <c r="R135" s="39"/>
      <c r="S135" s="83"/>
      <c r="T135" s="84"/>
      <c r="U135" s="83"/>
      <c r="V135" s="84"/>
      <c r="Z135" s="39"/>
      <c r="AA135" s="39"/>
      <c r="AB135" s="39"/>
      <c r="AC135" s="39"/>
      <c r="AD135" s="39"/>
      <c r="AE135" s="39"/>
      <c r="AF135" s="39"/>
      <c r="AO135" s="39"/>
      <c r="AP135" s="39"/>
      <c r="AQ135" s="39"/>
      <c r="AR135" s="39"/>
      <c r="AS135" s="39"/>
      <c r="AT135" s="39"/>
      <c r="AU135" s="39"/>
      <c r="AV135" s="39"/>
      <c r="AW135" s="39"/>
      <c r="AX135" s="39"/>
      <c r="AY135" s="39"/>
      <c r="AZ135" s="39"/>
      <c r="BA135" s="39"/>
      <c r="BB135" s="39"/>
      <c r="BC135" s="39"/>
    </row>
    <row r="136" spans="2:55" s="69" customFormat="1" x14ac:dyDescent="0.25">
      <c r="B136" s="68" t="str">
        <f ca="1">IFERROR(INDEX('Points Lookup'!$A:$A,MATCH($AA138,'Points Lookup'!$AN:$AN,0)),"")</f>
        <v/>
      </c>
      <c r="C136" s="81" t="str">
        <f ca="1">IF(B136="","",SUMIF(INDIRECT("'Points Lookup'!"&amp;VLOOKUP($B$2,Grades!A:BU,72,FALSE)&amp;":"&amp;VLOOKUP($B$2,Grades!A:BU,72,FALSE)),B136,INDIRECT("'Points Lookup'!"&amp;VLOOKUP($B$2,Grades!A:BU,73,FALSE)&amp;":"&amp;VLOOKUP($B$2,Grades!A:BU,73,FALSE))))</f>
        <v/>
      </c>
      <c r="D136" s="81"/>
      <c r="E136" s="81"/>
      <c r="F136" s="81" t="str">
        <f ca="1">IF($B136="","",IF(SUMIF(Grades!$A:$A,$B$2,Grades!$BO:$BO)=0,"-",IF(AND(VLOOKUP($B$2,Grades!$A:$BV,74,FALSE)="YES",B136&lt;Thresholds_Rates!$C$16),"-",$C136*Thresholds_Rates!$F$15)))</f>
        <v/>
      </c>
      <c r="G136" s="81" t="str">
        <f ca="1">IF(B136="","",IF($B$2="Salary Points 1 to 57","-",IF(SUMIF(Grades!$A:$A,$B$2,Grades!$BP:$BP)=0,"-",IF(AND(OR($B$2="New Consultant Contract"),$B136&lt;&gt;""),$C136*Thresholds_Rates!$F$16,IF(AND(OR($B$2="Clinical Lecturer / Medical Research Fellow",$B$2="Clinical Consultant - Old Contract (GP)"),$B136&lt;&gt;""),$C136*Thresholds_Rates!$F$16,IF(AND(OR($B$2="APM Level 7",$B$2="R&amp;T Level 7"),F136&lt;&gt;""),$C136*Thresholds_Rates!$F$16,IF(SUMIF(Grades!$A:$A,$B$2,Grades!$BP:$BP)=1,$C136*Thresholds_Rates!$F$16,"")))))))</f>
        <v/>
      </c>
      <c r="H136" s="81" t="str">
        <f ca="1">IF(B136="","",IF(SUMIF(Grades!$A:$A,$B$2,Grades!$BQ:$BQ)=0,"-",IF(AND($B$2="Salary Points 1 to 57",B136&gt;Thresholds_Rates!$C$17),"-",IF(AND($B$2="Salary Points 1 to 57",B136&lt;=Thresholds_Rates!$C$17),$C136*Thresholds_Rates!$F$17,IF(AND(OR($B$2="New Consultant Contract"),$B136&lt;&gt;""),$C136*Thresholds_Rates!$F$17,IF(AND(OR($B$2="Clinical Lecturer / Medical Research Fellow",$B$2="Clinical Consultant - Old Contract (GP)"),$B136&lt;&gt;""),$C136*Thresholds_Rates!$F$17,IF(AND(OR($B$2="APM Level 7",$B$2="R&amp;T Level 7"),G136&lt;&gt;""),$C136*Thresholds_Rates!$F$17,IF(SUMIF(Grades!$A:$A,$B$2,Grades!$BQ:$BQ)=1,$C136*Thresholds_Rates!$F$17,""))))))))</f>
        <v/>
      </c>
      <c r="I136" s="81"/>
      <c r="J136" s="81" t="str">
        <f ca="1">IF(B136="","",(C136*Thresholds_Rates!$C$12))</f>
        <v/>
      </c>
      <c r="K136" s="81"/>
      <c r="L136" s="68"/>
      <c r="M136" s="81" t="str">
        <f t="shared" ca="1" si="12"/>
        <v/>
      </c>
      <c r="N136" s="81" t="str">
        <f t="shared" ca="1" si="13"/>
        <v/>
      </c>
      <c r="O136" s="81" t="str">
        <f t="shared" ca="1" si="14"/>
        <v/>
      </c>
      <c r="P136" s="81" t="str">
        <f t="shared" ca="1" si="15"/>
        <v/>
      </c>
      <c r="Q136" s="81" t="str">
        <f t="shared" ca="1" si="16"/>
        <v/>
      </c>
      <c r="R136" s="39"/>
      <c r="S136" s="83"/>
      <c r="T136" s="84"/>
      <c r="U136" s="83"/>
      <c r="V136" s="84"/>
      <c r="Z136" s="39"/>
      <c r="AA136" s="39"/>
      <c r="AB136" s="39"/>
      <c r="AC136" s="39"/>
      <c r="AD136" s="39"/>
      <c r="AE136" s="39"/>
      <c r="AF136" s="39"/>
      <c r="AO136" s="39"/>
      <c r="AP136" s="39"/>
      <c r="AQ136" s="39"/>
      <c r="AR136" s="39"/>
      <c r="AS136" s="39"/>
      <c r="AT136" s="39"/>
      <c r="AU136" s="39"/>
      <c r="AV136" s="39"/>
      <c r="AW136" s="39"/>
      <c r="AX136" s="39"/>
      <c r="AY136" s="39"/>
      <c r="AZ136" s="39"/>
      <c r="BA136" s="39"/>
      <c r="BB136" s="39"/>
      <c r="BC136" s="39"/>
    </row>
    <row r="137" spans="2:55" s="69" customFormat="1" x14ac:dyDescent="0.25">
      <c r="B137" s="68" t="str">
        <f ca="1">IFERROR(INDEX('Points Lookup'!$A:$A,MATCH($AA139,'Points Lookup'!$AN:$AN,0)),"")</f>
        <v/>
      </c>
      <c r="C137" s="81" t="str">
        <f ca="1">IF(B137="","",SUMIF(INDIRECT("'Points Lookup'!"&amp;VLOOKUP($B$2,Grades!A:BU,72,FALSE)&amp;":"&amp;VLOOKUP($B$2,Grades!A:BU,72,FALSE)),B137,INDIRECT("'Points Lookup'!"&amp;VLOOKUP($B$2,Grades!A:BU,73,FALSE)&amp;":"&amp;VLOOKUP($B$2,Grades!A:BU,73,FALSE))))</f>
        <v/>
      </c>
      <c r="D137" s="81"/>
      <c r="E137" s="81"/>
      <c r="F137" s="81" t="str">
        <f ca="1">IF($B137="","",IF(SUMIF(Grades!$A:$A,$B$2,Grades!$BO:$BO)=0,"-",IF(AND(VLOOKUP($B$2,Grades!$A:$BV,74,FALSE)="YES",B137&lt;Thresholds_Rates!$C$16),"-",$C137*Thresholds_Rates!$F$15)))</f>
        <v/>
      </c>
      <c r="G137" s="81" t="str">
        <f ca="1">IF(B137="","",IF($B$2="Salary Points 1 to 57","-",IF(SUMIF(Grades!$A:$A,$B$2,Grades!$BP:$BP)=0,"-",IF(AND(OR($B$2="New Consultant Contract"),$B137&lt;&gt;""),$C137*Thresholds_Rates!$F$16,IF(AND(OR($B$2="Clinical Lecturer / Medical Research Fellow",$B$2="Clinical Consultant - Old Contract (GP)"),$B137&lt;&gt;""),$C137*Thresholds_Rates!$F$16,IF(AND(OR($B$2="APM Level 7",$B$2="R&amp;T Level 7"),F137&lt;&gt;""),$C137*Thresholds_Rates!$F$16,IF(SUMIF(Grades!$A:$A,$B$2,Grades!$BP:$BP)=1,$C137*Thresholds_Rates!$F$16,"")))))))</f>
        <v/>
      </c>
      <c r="H137" s="81" t="str">
        <f ca="1">IF(B137="","",IF(SUMIF(Grades!$A:$A,$B$2,Grades!$BQ:$BQ)=0,"-",IF(AND($B$2="Salary Points 1 to 57",B137&gt;Thresholds_Rates!$C$17),"-",IF(AND($B$2="Salary Points 1 to 57",B137&lt;=Thresholds_Rates!$C$17),$C137*Thresholds_Rates!$F$17,IF(AND(OR($B$2="New Consultant Contract"),$B137&lt;&gt;""),$C137*Thresholds_Rates!$F$17,IF(AND(OR($B$2="Clinical Lecturer / Medical Research Fellow",$B$2="Clinical Consultant - Old Contract (GP)"),$B137&lt;&gt;""),$C137*Thresholds_Rates!$F$17,IF(AND(OR($B$2="APM Level 7",$B$2="R&amp;T Level 7"),G137&lt;&gt;""),$C137*Thresholds_Rates!$F$17,IF(SUMIF(Grades!$A:$A,$B$2,Grades!$BQ:$BQ)=1,$C137*Thresholds_Rates!$F$17,""))))))))</f>
        <v/>
      </c>
      <c r="I137" s="81"/>
      <c r="J137" s="81" t="str">
        <f ca="1">IF(B137="","",(C137*Thresholds_Rates!$C$12))</f>
        <v/>
      </c>
      <c r="K137" s="81"/>
      <c r="L137" s="68"/>
      <c r="M137" s="81" t="str">
        <f t="shared" ca="1" si="12"/>
        <v/>
      </c>
      <c r="N137" s="81" t="str">
        <f t="shared" ca="1" si="13"/>
        <v/>
      </c>
      <c r="O137" s="81" t="str">
        <f t="shared" ca="1" si="14"/>
        <v/>
      </c>
      <c r="P137" s="81" t="str">
        <f t="shared" ca="1" si="15"/>
        <v/>
      </c>
      <c r="Q137" s="81" t="str">
        <f t="shared" ca="1" si="16"/>
        <v/>
      </c>
      <c r="R137" s="39"/>
      <c r="S137" s="83"/>
      <c r="T137" s="84"/>
      <c r="U137" s="83"/>
      <c r="V137" s="84"/>
      <c r="Z137" s="39"/>
      <c r="AA137" s="39"/>
      <c r="AB137" s="39"/>
      <c r="AC137" s="39"/>
      <c r="AD137" s="39"/>
      <c r="AE137" s="39"/>
      <c r="AF137" s="39"/>
      <c r="AO137" s="39"/>
      <c r="AP137" s="39"/>
      <c r="AQ137" s="39"/>
      <c r="AR137" s="39"/>
      <c r="AS137" s="39"/>
      <c r="AT137" s="39"/>
      <c r="AU137" s="39"/>
      <c r="AV137" s="39"/>
      <c r="AW137" s="39"/>
      <c r="AX137" s="39"/>
      <c r="AY137" s="39"/>
      <c r="AZ137" s="39"/>
      <c r="BA137" s="39"/>
      <c r="BB137" s="39"/>
      <c r="BC137" s="39"/>
    </row>
    <row r="138" spans="2:55" s="69" customFormat="1" x14ac:dyDescent="0.25">
      <c r="B138" s="68" t="str">
        <f ca="1">IFERROR(INDEX('Points Lookup'!$A:$A,MATCH($AA140,'Points Lookup'!$AN:$AN,0)),"")</f>
        <v/>
      </c>
      <c r="C138" s="81" t="str">
        <f ca="1">IF(B138="","",SUMIF(INDIRECT("'Points Lookup'!"&amp;VLOOKUP($B$2,Grades!A:BU,72,FALSE)&amp;":"&amp;VLOOKUP($B$2,Grades!A:BU,72,FALSE)),B138,INDIRECT("'Points Lookup'!"&amp;VLOOKUP($B$2,Grades!A:BU,73,FALSE)&amp;":"&amp;VLOOKUP($B$2,Grades!A:BU,73,FALSE))))</f>
        <v/>
      </c>
      <c r="D138" s="81"/>
      <c r="E138" s="81"/>
      <c r="F138" s="81" t="str">
        <f ca="1">IF($B138="","",IF(SUMIF(Grades!$A:$A,$B$2,Grades!$BO:$BO)=0,"-",IF(AND(VLOOKUP($B$2,Grades!$A:$BV,74,FALSE)="YES",B138&lt;Thresholds_Rates!$C$16),"-",$C138*Thresholds_Rates!$F$15)))</f>
        <v/>
      </c>
      <c r="G138" s="81" t="str">
        <f ca="1">IF(B138="","",IF($B$2="Salary Points 1 to 57","-",IF(SUMIF(Grades!$A:$A,$B$2,Grades!$BP:$BP)=0,"-",IF(AND(OR($B$2="New Consultant Contract"),$B138&lt;&gt;""),$C138*Thresholds_Rates!$F$16,IF(AND(OR($B$2="Clinical Lecturer / Medical Research Fellow",$B$2="Clinical Consultant - Old Contract (GP)"),$B138&lt;&gt;""),$C138*Thresholds_Rates!$F$16,IF(AND(OR($B$2="APM Level 7",$B$2="R&amp;T Level 7"),F138&lt;&gt;""),$C138*Thresholds_Rates!$F$16,IF(SUMIF(Grades!$A:$A,$B$2,Grades!$BP:$BP)=1,$C138*Thresholds_Rates!$F$16,"")))))))</f>
        <v/>
      </c>
      <c r="H138" s="81" t="str">
        <f ca="1">IF(B138="","",IF(SUMIF(Grades!$A:$A,$B$2,Grades!$BQ:$BQ)=0,"-",IF(AND($B$2="Salary Points 1 to 57",B138&gt;Thresholds_Rates!$C$17),"-",IF(AND($B$2="Salary Points 1 to 57",B138&lt;=Thresholds_Rates!$C$17),$C138*Thresholds_Rates!$F$17,IF(AND(OR($B$2="New Consultant Contract"),$B138&lt;&gt;""),$C138*Thresholds_Rates!$F$17,IF(AND(OR($B$2="Clinical Lecturer / Medical Research Fellow",$B$2="Clinical Consultant - Old Contract (GP)"),$B138&lt;&gt;""),$C138*Thresholds_Rates!$F$17,IF(AND(OR($B$2="APM Level 7",$B$2="R&amp;T Level 7"),G138&lt;&gt;""),$C138*Thresholds_Rates!$F$17,IF(SUMIF(Grades!$A:$A,$B$2,Grades!$BQ:$BQ)=1,$C138*Thresholds_Rates!$F$17,""))))))))</f>
        <v/>
      </c>
      <c r="I138" s="81"/>
      <c r="J138" s="81" t="str">
        <f ca="1">IF(B138="","",(C138*Thresholds_Rates!$C$12))</f>
        <v/>
      </c>
      <c r="K138" s="81"/>
      <c r="L138" s="68"/>
      <c r="M138" s="81" t="str">
        <f t="shared" ca="1" si="12"/>
        <v/>
      </c>
      <c r="N138" s="81" t="str">
        <f t="shared" ca="1" si="13"/>
        <v/>
      </c>
      <c r="O138" s="81" t="str">
        <f t="shared" ca="1" si="14"/>
        <v/>
      </c>
      <c r="P138" s="81" t="str">
        <f t="shared" ca="1" si="15"/>
        <v/>
      </c>
      <c r="Q138" s="81" t="str">
        <f t="shared" ca="1" si="16"/>
        <v/>
      </c>
      <c r="R138" s="39"/>
      <c r="S138" s="83"/>
      <c r="T138" s="84"/>
      <c r="U138" s="83"/>
      <c r="V138" s="84"/>
      <c r="Z138" s="39"/>
      <c r="AA138" s="39"/>
      <c r="AB138" s="39"/>
      <c r="AC138" s="39"/>
      <c r="AD138" s="39"/>
      <c r="AE138" s="39"/>
      <c r="AF138" s="39"/>
      <c r="AO138" s="39"/>
      <c r="AP138" s="39"/>
      <c r="AQ138" s="39"/>
      <c r="AR138" s="39"/>
      <c r="AS138" s="39"/>
      <c r="AT138" s="39"/>
      <c r="AU138" s="39"/>
      <c r="AV138" s="39"/>
      <c r="AW138" s="39"/>
      <c r="AX138" s="39"/>
      <c r="AY138" s="39"/>
      <c r="AZ138" s="39"/>
      <c r="BA138" s="39"/>
      <c r="BB138" s="39"/>
      <c r="BC138" s="39"/>
    </row>
    <row r="139" spans="2:55" s="69" customFormat="1" x14ac:dyDescent="0.25">
      <c r="B139" s="68" t="str">
        <f ca="1">IFERROR(INDEX('Points Lookup'!$A:$A,MATCH($AA141,'Points Lookup'!$AN:$AN,0)),"")</f>
        <v/>
      </c>
      <c r="C139" s="81" t="str">
        <f ca="1">IF(B139="","",SUMIF(INDIRECT("'Points Lookup'!"&amp;VLOOKUP($B$2,Grades!A:BU,72,FALSE)&amp;":"&amp;VLOOKUP($B$2,Grades!A:BU,72,FALSE)),B139,INDIRECT("'Points Lookup'!"&amp;VLOOKUP($B$2,Grades!A:BU,73,FALSE)&amp;":"&amp;VLOOKUP($B$2,Grades!A:BU,73,FALSE))))</f>
        <v/>
      </c>
      <c r="D139" s="81"/>
      <c r="E139" s="81"/>
      <c r="F139" s="81" t="str">
        <f ca="1">IF($B139="","",IF(SUMIF(Grades!$A:$A,$B$2,Grades!$BO:$BO)=0,"-",IF(AND(VLOOKUP($B$2,Grades!$A:$BV,74,FALSE)="YES",B139&lt;Thresholds_Rates!$C$16),"-",$C139*Thresholds_Rates!$F$15)))</f>
        <v/>
      </c>
      <c r="G139" s="81" t="str">
        <f ca="1">IF(B139="","",IF($B$2="Salary Points 1 to 57","-",IF(SUMIF(Grades!$A:$A,$B$2,Grades!$BP:$BP)=0,"-",IF(AND(OR($B$2="New Consultant Contract"),$B139&lt;&gt;""),$C139*Thresholds_Rates!$F$16,IF(AND(OR($B$2="Clinical Lecturer / Medical Research Fellow",$B$2="Clinical Consultant - Old Contract (GP)"),$B139&lt;&gt;""),$C139*Thresholds_Rates!$F$16,IF(AND(OR($B$2="APM Level 7",$B$2="R&amp;T Level 7"),F139&lt;&gt;""),$C139*Thresholds_Rates!$F$16,IF(SUMIF(Grades!$A:$A,$B$2,Grades!$BP:$BP)=1,$C139*Thresholds_Rates!$F$16,"")))))))</f>
        <v/>
      </c>
      <c r="H139" s="81" t="str">
        <f ca="1">IF(B139="","",IF(SUMIF(Grades!$A:$A,$B$2,Grades!$BQ:$BQ)=0,"-",IF(AND($B$2="Salary Points 1 to 57",B139&gt;Thresholds_Rates!$C$17),"-",IF(AND($B$2="Salary Points 1 to 57",B139&lt;=Thresholds_Rates!$C$17),$C139*Thresholds_Rates!$F$17,IF(AND(OR($B$2="New Consultant Contract"),$B139&lt;&gt;""),$C139*Thresholds_Rates!$F$17,IF(AND(OR($B$2="Clinical Lecturer / Medical Research Fellow",$B$2="Clinical Consultant - Old Contract (GP)"),$B139&lt;&gt;""),$C139*Thresholds_Rates!$F$17,IF(AND(OR($B$2="APM Level 7",$B$2="R&amp;T Level 7"),G139&lt;&gt;""),$C139*Thresholds_Rates!$F$17,IF(SUMIF(Grades!$A:$A,$B$2,Grades!$BQ:$BQ)=1,$C139*Thresholds_Rates!$F$17,""))))))))</f>
        <v/>
      </c>
      <c r="I139" s="81"/>
      <c r="J139" s="81" t="str">
        <f ca="1">IF(B139="","",(C139*Thresholds_Rates!$C$12))</f>
        <v/>
      </c>
      <c r="K139" s="81"/>
      <c r="L139" s="68"/>
      <c r="M139" s="81" t="str">
        <f t="shared" ca="1" si="12"/>
        <v/>
      </c>
      <c r="N139" s="81" t="str">
        <f t="shared" ca="1" si="13"/>
        <v/>
      </c>
      <c r="O139" s="81" t="str">
        <f t="shared" ca="1" si="14"/>
        <v/>
      </c>
      <c r="P139" s="81" t="str">
        <f t="shared" ca="1" si="15"/>
        <v/>
      </c>
      <c r="Q139" s="81" t="str">
        <f t="shared" ca="1" si="16"/>
        <v/>
      </c>
      <c r="R139" s="39"/>
      <c r="S139" s="83"/>
      <c r="T139" s="84"/>
      <c r="U139" s="83"/>
      <c r="V139" s="84"/>
      <c r="Z139" s="39"/>
      <c r="AA139" s="39"/>
      <c r="AB139" s="39"/>
      <c r="AC139" s="39"/>
      <c r="AD139" s="39"/>
      <c r="AE139" s="39"/>
      <c r="AF139" s="39"/>
      <c r="AO139" s="39"/>
      <c r="AP139" s="39"/>
      <c r="AQ139" s="39"/>
      <c r="AR139" s="39"/>
      <c r="AS139" s="39"/>
      <c r="AT139" s="39"/>
      <c r="AU139" s="39"/>
      <c r="AV139" s="39"/>
      <c r="AW139" s="39"/>
      <c r="AX139" s="39"/>
      <c r="AY139" s="39"/>
      <c r="AZ139" s="39"/>
      <c r="BA139" s="39"/>
      <c r="BB139" s="39"/>
      <c r="BC139" s="39"/>
    </row>
    <row r="140" spans="2:55" s="69" customFormat="1" x14ac:dyDescent="0.25">
      <c r="B140" s="68" t="str">
        <f ca="1">IFERROR(INDEX('Points Lookup'!$A:$A,MATCH($AA142,'Points Lookup'!$AN:$AN,0)),"")</f>
        <v/>
      </c>
      <c r="C140" s="81" t="str">
        <f ca="1">IF(B140="","",SUMIF(INDIRECT("'Points Lookup'!"&amp;VLOOKUP($B$2,Grades!A:BU,72,FALSE)&amp;":"&amp;VLOOKUP($B$2,Grades!A:BU,72,FALSE)),B140,INDIRECT("'Points Lookup'!"&amp;VLOOKUP($B$2,Grades!A:BU,73,FALSE)&amp;":"&amp;VLOOKUP($B$2,Grades!A:BU,73,FALSE))))</f>
        <v/>
      </c>
      <c r="D140" s="81"/>
      <c r="E140" s="81"/>
      <c r="F140" s="81" t="str">
        <f ca="1">IF($B140="","",IF(SUMIF(Grades!$A:$A,$B$2,Grades!$BO:$BO)=0,"-",IF(AND(VLOOKUP($B$2,Grades!$A:$BV,74,FALSE)="YES",B140&lt;Thresholds_Rates!$C$16),"-",$C140*Thresholds_Rates!$F$15)))</f>
        <v/>
      </c>
      <c r="G140" s="81" t="str">
        <f ca="1">IF(B140="","",IF($B$2="Salary Points 1 to 57","-",IF(SUMIF(Grades!$A:$A,$B$2,Grades!$BP:$BP)=0,"-",IF(AND(OR($B$2="New Consultant Contract"),$B140&lt;&gt;""),$C140*Thresholds_Rates!$F$16,IF(AND(OR($B$2="Clinical Lecturer / Medical Research Fellow",$B$2="Clinical Consultant - Old Contract (GP)"),$B140&lt;&gt;""),$C140*Thresholds_Rates!$F$16,IF(AND(OR($B$2="APM Level 7",$B$2="R&amp;T Level 7"),F140&lt;&gt;""),$C140*Thresholds_Rates!$F$16,IF(SUMIF(Grades!$A:$A,$B$2,Grades!$BP:$BP)=1,$C140*Thresholds_Rates!$F$16,"")))))))</f>
        <v/>
      </c>
      <c r="H140" s="81" t="str">
        <f ca="1">IF(B140="","",IF(SUMIF(Grades!$A:$A,$B$2,Grades!$BQ:$BQ)=0,"-",IF(AND($B$2="Salary Points 1 to 57",B140&gt;Thresholds_Rates!$C$17),"-",IF(AND($B$2="Salary Points 1 to 57",B140&lt;=Thresholds_Rates!$C$17),$C140*Thresholds_Rates!$F$17,IF(AND(OR($B$2="New Consultant Contract"),$B140&lt;&gt;""),$C140*Thresholds_Rates!$F$17,IF(AND(OR($B$2="Clinical Lecturer / Medical Research Fellow",$B$2="Clinical Consultant - Old Contract (GP)"),$B140&lt;&gt;""),$C140*Thresholds_Rates!$F$17,IF(AND(OR($B$2="APM Level 7",$B$2="R&amp;T Level 7"),G140&lt;&gt;""),$C140*Thresholds_Rates!$F$17,IF(SUMIF(Grades!$A:$A,$B$2,Grades!$BQ:$BQ)=1,$C140*Thresholds_Rates!$F$17,""))))))))</f>
        <v/>
      </c>
      <c r="I140" s="81"/>
      <c r="J140" s="81" t="str">
        <f ca="1">IF(B140="","",(C140*Thresholds_Rates!$C$12))</f>
        <v/>
      </c>
      <c r="K140" s="81"/>
      <c r="L140" s="68"/>
      <c r="M140" s="81" t="str">
        <f t="shared" ca="1" si="12"/>
        <v/>
      </c>
      <c r="N140" s="81" t="str">
        <f t="shared" ca="1" si="13"/>
        <v/>
      </c>
      <c r="O140" s="81" t="str">
        <f t="shared" ca="1" si="14"/>
        <v/>
      </c>
      <c r="P140" s="81" t="str">
        <f t="shared" ca="1" si="15"/>
        <v/>
      </c>
      <c r="Q140" s="81" t="str">
        <f t="shared" ca="1" si="16"/>
        <v/>
      </c>
      <c r="R140" s="39"/>
      <c r="S140" s="83"/>
      <c r="T140" s="84"/>
      <c r="U140" s="83"/>
      <c r="V140" s="84"/>
      <c r="Z140" s="39"/>
      <c r="AA140" s="39"/>
      <c r="AB140" s="39"/>
      <c r="AC140" s="39"/>
      <c r="AD140" s="39"/>
      <c r="AE140" s="39"/>
      <c r="AF140" s="39"/>
      <c r="AO140" s="39"/>
      <c r="AP140" s="39"/>
      <c r="AQ140" s="39"/>
      <c r="AR140" s="39"/>
      <c r="AS140" s="39"/>
      <c r="AT140" s="39"/>
      <c r="AU140" s="39"/>
      <c r="AV140" s="39"/>
      <c r="AW140" s="39"/>
      <c r="AX140" s="39"/>
      <c r="AY140" s="39"/>
      <c r="AZ140" s="39"/>
      <c r="BA140" s="39"/>
      <c r="BB140" s="39"/>
      <c r="BC140" s="39"/>
    </row>
    <row r="141" spans="2:55" s="69" customFormat="1" x14ac:dyDescent="0.25">
      <c r="B141" s="68" t="str">
        <f ca="1">IFERROR(INDEX('Points Lookup'!$A:$A,MATCH($AA143,'Points Lookup'!$AN:$AN,0)),"")</f>
        <v/>
      </c>
      <c r="C141" s="81" t="str">
        <f ca="1">IF(B141="","",SUMIF(INDIRECT("'Points Lookup'!"&amp;VLOOKUP($B$2,Grades!A:BU,72,FALSE)&amp;":"&amp;VLOOKUP($B$2,Grades!A:BU,72,FALSE)),B141,INDIRECT("'Points Lookup'!"&amp;VLOOKUP($B$2,Grades!A:BU,73,FALSE)&amp;":"&amp;VLOOKUP($B$2,Grades!A:BU,73,FALSE))))</f>
        <v/>
      </c>
      <c r="D141" s="81"/>
      <c r="E141" s="81"/>
      <c r="F141" s="81" t="str">
        <f ca="1">IF($B141="","",IF(SUMIF(Grades!$A:$A,$B$2,Grades!$BO:$BO)=0,"-",IF(AND(VLOOKUP($B$2,Grades!$A:$BV,74,FALSE)="YES",B141&lt;Thresholds_Rates!$C$16),"-",$C141*Thresholds_Rates!$F$15)))</f>
        <v/>
      </c>
      <c r="G141" s="81" t="str">
        <f ca="1">IF(B141="","",IF($B$2="Salary Points 1 to 57","-",IF(SUMIF(Grades!$A:$A,$B$2,Grades!$BP:$BP)=0,"-",IF(AND(OR($B$2="New Consultant Contract"),$B141&lt;&gt;""),$C141*Thresholds_Rates!$F$16,IF(AND(OR($B$2="Clinical Lecturer / Medical Research Fellow",$B$2="Clinical Consultant - Old Contract (GP)"),$B141&lt;&gt;""),$C141*Thresholds_Rates!$F$16,IF(AND(OR($B$2="APM Level 7",$B$2="R&amp;T Level 7"),F141&lt;&gt;""),$C141*Thresholds_Rates!$F$16,IF(SUMIF(Grades!$A:$A,$B$2,Grades!$BP:$BP)=1,$C141*Thresholds_Rates!$F$16,"")))))))</f>
        <v/>
      </c>
      <c r="H141" s="81" t="str">
        <f ca="1">IF(B141="","",IF(SUMIF(Grades!$A:$A,$B$2,Grades!$BQ:$BQ)=0,"-",IF(AND($B$2="Salary Points 1 to 57",B141&gt;Thresholds_Rates!$C$17),"-",IF(AND($B$2="Salary Points 1 to 57",B141&lt;=Thresholds_Rates!$C$17),$C141*Thresholds_Rates!$F$17,IF(AND(OR($B$2="New Consultant Contract"),$B141&lt;&gt;""),$C141*Thresholds_Rates!$F$17,IF(AND(OR($B$2="Clinical Lecturer / Medical Research Fellow",$B$2="Clinical Consultant - Old Contract (GP)"),$B141&lt;&gt;""),$C141*Thresholds_Rates!$F$17,IF(AND(OR($B$2="APM Level 7",$B$2="R&amp;T Level 7"),G141&lt;&gt;""),$C141*Thresholds_Rates!$F$17,IF(SUMIF(Grades!$A:$A,$B$2,Grades!$BQ:$BQ)=1,$C141*Thresholds_Rates!$F$17,""))))))))</f>
        <v/>
      </c>
      <c r="I141" s="81"/>
      <c r="J141" s="81" t="str">
        <f ca="1">IF(B141="","",(C141*Thresholds_Rates!$C$12))</f>
        <v/>
      </c>
      <c r="K141" s="81"/>
      <c r="L141" s="68"/>
      <c r="M141" s="81" t="str">
        <f t="shared" ca="1" si="12"/>
        <v/>
      </c>
      <c r="N141" s="81" t="str">
        <f t="shared" ca="1" si="13"/>
        <v/>
      </c>
      <c r="O141" s="81" t="str">
        <f t="shared" ca="1" si="14"/>
        <v/>
      </c>
      <c r="P141" s="81" t="str">
        <f t="shared" ca="1" si="15"/>
        <v/>
      </c>
      <c r="Q141" s="81" t="str">
        <f t="shared" ca="1" si="16"/>
        <v/>
      </c>
      <c r="R141" s="39"/>
      <c r="S141" s="83"/>
      <c r="T141" s="84"/>
      <c r="U141" s="83"/>
      <c r="V141" s="84"/>
      <c r="Z141" s="39"/>
      <c r="AA141" s="39"/>
      <c r="AB141" s="39"/>
      <c r="AC141" s="39"/>
      <c r="AD141" s="39"/>
      <c r="AE141" s="39"/>
      <c r="AF141" s="39"/>
      <c r="AO141" s="39"/>
      <c r="AP141" s="39"/>
      <c r="AQ141" s="39"/>
      <c r="AR141" s="39"/>
      <c r="AS141" s="39"/>
      <c r="AT141" s="39"/>
      <c r="AU141" s="39"/>
      <c r="AV141" s="39"/>
      <c r="AW141" s="39"/>
      <c r="AX141" s="39"/>
      <c r="AY141" s="39"/>
      <c r="AZ141" s="39"/>
      <c r="BA141" s="39"/>
      <c r="BB141" s="39"/>
      <c r="BC141" s="39"/>
    </row>
    <row r="142" spans="2:55" s="69" customFormat="1" x14ac:dyDescent="0.25">
      <c r="B142" s="68" t="str">
        <f ca="1">IFERROR(INDEX('Points Lookup'!$A:$A,MATCH($AA144,'Points Lookup'!$AN:$AN,0)),"")</f>
        <v/>
      </c>
      <c r="C142" s="81" t="str">
        <f ca="1">IF(B142="","",SUMIF(INDIRECT("'Points Lookup'!"&amp;VLOOKUP($B$2,Grades!A:BU,72,FALSE)&amp;":"&amp;VLOOKUP($B$2,Grades!A:BU,72,FALSE)),B142,INDIRECT("'Points Lookup'!"&amp;VLOOKUP($B$2,Grades!A:BU,73,FALSE)&amp;":"&amp;VLOOKUP($B$2,Grades!A:BU,73,FALSE))))</f>
        <v/>
      </c>
      <c r="D142" s="81"/>
      <c r="E142" s="81"/>
      <c r="F142" s="81" t="str">
        <f ca="1">IF($B142="","",IF(SUMIF(Grades!$A:$A,$B$2,Grades!$BO:$BO)=0,"-",IF(AND(VLOOKUP($B$2,Grades!$A:$BV,74,FALSE)="YES",B142&lt;Thresholds_Rates!$C$16),"-",$C142*Thresholds_Rates!$F$15)))</f>
        <v/>
      </c>
      <c r="G142" s="81" t="str">
        <f ca="1">IF(B142="","",IF($B$2="Salary Points 1 to 57","-",IF(SUMIF(Grades!$A:$A,$B$2,Grades!$BP:$BP)=0,"-",IF(AND(OR($B$2="New Consultant Contract"),$B142&lt;&gt;""),$C142*Thresholds_Rates!$F$16,IF(AND(OR($B$2="Clinical Lecturer / Medical Research Fellow",$B$2="Clinical Consultant - Old Contract (GP)"),$B142&lt;&gt;""),$C142*Thresholds_Rates!$F$16,IF(AND(OR($B$2="APM Level 7",$B$2="R&amp;T Level 7"),F142&lt;&gt;""),$C142*Thresholds_Rates!$F$16,IF(SUMIF(Grades!$A:$A,$B$2,Grades!$BP:$BP)=1,$C142*Thresholds_Rates!$F$16,"")))))))</f>
        <v/>
      </c>
      <c r="H142" s="81" t="str">
        <f ca="1">IF(B142="","",IF(SUMIF(Grades!$A:$A,$B$2,Grades!$BQ:$BQ)=0,"-",IF(AND($B$2="Salary Points 1 to 57",B142&gt;Thresholds_Rates!$C$17),"-",IF(AND($B$2="Salary Points 1 to 57",B142&lt;=Thresholds_Rates!$C$17),$C142*Thresholds_Rates!$F$17,IF(AND(OR($B$2="New Consultant Contract"),$B142&lt;&gt;""),$C142*Thresholds_Rates!$F$17,IF(AND(OR($B$2="Clinical Lecturer / Medical Research Fellow",$B$2="Clinical Consultant - Old Contract (GP)"),$B142&lt;&gt;""),$C142*Thresholds_Rates!$F$17,IF(AND(OR($B$2="APM Level 7",$B$2="R&amp;T Level 7"),G142&lt;&gt;""),$C142*Thresholds_Rates!$F$17,IF(SUMIF(Grades!$A:$A,$B$2,Grades!$BQ:$BQ)=1,$C142*Thresholds_Rates!$F$17,""))))))))</f>
        <v/>
      </c>
      <c r="I142" s="81"/>
      <c r="J142" s="81" t="str">
        <f ca="1">IF(B142="","",(C142*Thresholds_Rates!$C$12))</f>
        <v/>
      </c>
      <c r="K142" s="81"/>
      <c r="L142" s="68"/>
      <c r="M142" s="81" t="str">
        <f t="shared" ca="1" si="12"/>
        <v/>
      </c>
      <c r="N142" s="81" t="str">
        <f t="shared" ca="1" si="13"/>
        <v/>
      </c>
      <c r="O142" s="81" t="str">
        <f t="shared" ca="1" si="14"/>
        <v/>
      </c>
      <c r="P142" s="81" t="str">
        <f t="shared" ca="1" si="15"/>
        <v/>
      </c>
      <c r="Q142" s="81" t="str">
        <f t="shared" ca="1" si="16"/>
        <v/>
      </c>
      <c r="R142" s="39"/>
      <c r="S142" s="83"/>
      <c r="T142" s="84"/>
      <c r="U142" s="83"/>
      <c r="V142" s="84"/>
      <c r="Z142" s="39"/>
      <c r="AA142" s="39"/>
      <c r="AB142" s="39"/>
      <c r="AC142" s="39"/>
      <c r="AD142" s="39"/>
      <c r="AE142" s="39"/>
      <c r="AF142" s="39"/>
      <c r="AO142" s="39"/>
      <c r="AP142" s="39"/>
      <c r="AQ142" s="39"/>
      <c r="AR142" s="39"/>
      <c r="AS142" s="39"/>
      <c r="AT142" s="39"/>
      <c r="AU142" s="39"/>
      <c r="AV142" s="39"/>
      <c r="AW142" s="39"/>
      <c r="AX142" s="39"/>
      <c r="AY142" s="39"/>
      <c r="AZ142" s="39"/>
      <c r="BA142" s="39"/>
      <c r="BB142" s="39"/>
      <c r="BC142" s="39"/>
    </row>
    <row r="143" spans="2:55" s="69" customFormat="1" x14ac:dyDescent="0.25">
      <c r="B143" s="68" t="str">
        <f ca="1">IFERROR(INDEX('Points Lookup'!$A:$A,MATCH($AA145,'Points Lookup'!$AN:$AN,0)),"")</f>
        <v/>
      </c>
      <c r="C143" s="81" t="str">
        <f ca="1">IF(B143="","",SUMIF(INDIRECT("'Points Lookup'!"&amp;VLOOKUP($B$2,Grades!A:BU,72,FALSE)&amp;":"&amp;VLOOKUP($B$2,Grades!A:BU,72,FALSE)),B143,INDIRECT("'Points Lookup'!"&amp;VLOOKUP($B$2,Grades!A:BU,73,FALSE)&amp;":"&amp;VLOOKUP($B$2,Grades!A:BU,73,FALSE))))</f>
        <v/>
      </c>
      <c r="D143" s="81"/>
      <c r="E143" s="81"/>
      <c r="F143" s="81" t="str">
        <f ca="1">IF($B143="","",IF(SUMIF(Grades!$A:$A,$B$2,Grades!$BO:$BO)=0,"-",IF(AND(VLOOKUP($B$2,Grades!$A:$BV,74,FALSE)="YES",B143&lt;Thresholds_Rates!$C$16),"-",$C143*Thresholds_Rates!$F$15)))</f>
        <v/>
      </c>
      <c r="G143" s="81" t="str">
        <f ca="1">IF(B143="","",IF($B$2="Salary Points 1 to 57","-",IF(SUMIF(Grades!$A:$A,$B$2,Grades!$BP:$BP)=0,"-",IF(AND(OR($B$2="New Consultant Contract"),$B143&lt;&gt;""),$C143*Thresholds_Rates!$F$16,IF(AND(OR($B$2="Clinical Lecturer / Medical Research Fellow",$B$2="Clinical Consultant - Old Contract (GP)"),$B143&lt;&gt;""),$C143*Thresholds_Rates!$F$16,IF(AND(OR($B$2="APM Level 7",$B$2="R&amp;T Level 7"),F143&lt;&gt;""),$C143*Thresholds_Rates!$F$16,IF(SUMIF(Grades!$A:$A,$B$2,Grades!$BP:$BP)=1,$C143*Thresholds_Rates!$F$16,"")))))))</f>
        <v/>
      </c>
      <c r="H143" s="81" t="str">
        <f ca="1">IF(B143="","",IF(SUMIF(Grades!$A:$A,$B$2,Grades!$BQ:$BQ)=0,"-",IF(AND($B$2="Salary Points 1 to 57",B143&gt;Thresholds_Rates!$C$17),"-",IF(AND($B$2="Salary Points 1 to 57",B143&lt;=Thresholds_Rates!$C$17),$C143*Thresholds_Rates!$F$17,IF(AND(OR($B$2="New Consultant Contract"),$B143&lt;&gt;""),$C143*Thresholds_Rates!$F$17,IF(AND(OR($B$2="Clinical Lecturer / Medical Research Fellow",$B$2="Clinical Consultant - Old Contract (GP)"),$B143&lt;&gt;""),$C143*Thresholds_Rates!$F$17,IF(AND(OR($B$2="APM Level 7",$B$2="R&amp;T Level 7"),G143&lt;&gt;""),$C143*Thresholds_Rates!$F$17,IF(SUMIF(Grades!$A:$A,$B$2,Grades!$BQ:$BQ)=1,$C143*Thresholds_Rates!$F$17,""))))))))</f>
        <v/>
      </c>
      <c r="I143" s="81"/>
      <c r="J143" s="81" t="str">
        <f ca="1">IF(B143="","",(C143*Thresholds_Rates!$C$12))</f>
        <v/>
      </c>
      <c r="K143" s="81"/>
      <c r="L143" s="68"/>
      <c r="M143" s="81" t="str">
        <f t="shared" ca="1" si="12"/>
        <v/>
      </c>
      <c r="N143" s="81" t="str">
        <f t="shared" ca="1" si="13"/>
        <v/>
      </c>
      <c r="O143" s="81" t="str">
        <f t="shared" ca="1" si="14"/>
        <v/>
      </c>
      <c r="P143" s="81" t="str">
        <f t="shared" ca="1" si="15"/>
        <v/>
      </c>
      <c r="Q143" s="81" t="str">
        <f t="shared" ca="1" si="16"/>
        <v/>
      </c>
      <c r="R143" s="39"/>
      <c r="S143" s="83"/>
      <c r="T143" s="84"/>
      <c r="U143" s="83"/>
      <c r="V143" s="84"/>
      <c r="Z143" s="39"/>
      <c r="AA143" s="39"/>
      <c r="AB143" s="39"/>
      <c r="AC143" s="39"/>
      <c r="AD143" s="39"/>
      <c r="AE143" s="39"/>
      <c r="AF143" s="39"/>
      <c r="AO143" s="39"/>
      <c r="AP143" s="39"/>
      <c r="AQ143" s="39"/>
      <c r="AR143" s="39"/>
      <c r="AS143" s="39"/>
      <c r="AT143" s="39"/>
      <c r="AU143" s="39"/>
      <c r="AV143" s="39"/>
      <c r="AW143" s="39"/>
      <c r="AX143" s="39"/>
      <c r="AY143" s="39"/>
      <c r="AZ143" s="39"/>
      <c r="BA143" s="39"/>
      <c r="BB143" s="39"/>
      <c r="BC143" s="39"/>
    </row>
    <row r="144" spans="2:55" s="69" customFormat="1" x14ac:dyDescent="0.25">
      <c r="B144" s="68" t="str">
        <f ca="1">IFERROR(INDEX('Points Lookup'!$A:$A,MATCH($AA146,'Points Lookup'!$AN:$AN,0)),"")</f>
        <v/>
      </c>
      <c r="C144" s="81" t="str">
        <f ca="1">IF(B144="","",SUMIF(INDIRECT("'Points Lookup'!"&amp;VLOOKUP($B$2,Grades!A:BU,72,FALSE)&amp;":"&amp;VLOOKUP($B$2,Grades!A:BU,72,FALSE)),B144,INDIRECT("'Points Lookup'!"&amp;VLOOKUP($B$2,Grades!A:BU,73,FALSE)&amp;":"&amp;VLOOKUP($B$2,Grades!A:BU,73,FALSE))))</f>
        <v/>
      </c>
      <c r="D144" s="81"/>
      <c r="E144" s="81"/>
      <c r="F144" s="81" t="str">
        <f ca="1">IF($B144="","",IF(SUMIF(Grades!$A:$A,$B$2,Grades!$BO:$BO)=0,"-",IF(AND(VLOOKUP($B$2,Grades!$A:$BV,74,FALSE)="YES",B144&lt;Thresholds_Rates!$C$16),"-",$C144*Thresholds_Rates!$F$15)))</f>
        <v/>
      </c>
      <c r="G144" s="81" t="str">
        <f ca="1">IF(B144="","",IF($B$2="Salary Points 1 to 57","-",IF(SUMIF(Grades!$A:$A,$B$2,Grades!$BP:$BP)=0,"-",IF(AND(OR($B$2="New Consultant Contract"),$B144&lt;&gt;""),$C144*Thresholds_Rates!$F$16,IF(AND(OR($B$2="Clinical Lecturer / Medical Research Fellow",$B$2="Clinical Consultant - Old Contract (GP)"),$B144&lt;&gt;""),$C144*Thresholds_Rates!$F$16,IF(AND(OR($B$2="APM Level 7",$B$2="R&amp;T Level 7"),F144&lt;&gt;""),$C144*Thresholds_Rates!$F$16,IF(SUMIF(Grades!$A:$A,$B$2,Grades!$BP:$BP)=1,$C144*Thresholds_Rates!$F$16,"")))))))</f>
        <v/>
      </c>
      <c r="H144" s="81" t="str">
        <f ca="1">IF(B144="","",IF(SUMIF(Grades!$A:$A,$B$2,Grades!$BQ:$BQ)=0,"-",IF(AND($B$2="Salary Points 1 to 57",B144&gt;Thresholds_Rates!$C$17),"-",IF(AND($B$2="Salary Points 1 to 57",B144&lt;=Thresholds_Rates!$C$17),$C144*Thresholds_Rates!$F$17,IF(AND(OR($B$2="New Consultant Contract"),$B144&lt;&gt;""),$C144*Thresholds_Rates!$F$17,IF(AND(OR($B$2="Clinical Lecturer / Medical Research Fellow",$B$2="Clinical Consultant - Old Contract (GP)"),$B144&lt;&gt;""),$C144*Thresholds_Rates!$F$17,IF(AND(OR($B$2="APM Level 7",$B$2="R&amp;T Level 7"),G144&lt;&gt;""),$C144*Thresholds_Rates!$F$17,IF(SUMIF(Grades!$A:$A,$B$2,Grades!$BQ:$BQ)=1,$C144*Thresholds_Rates!$F$17,""))))))))</f>
        <v/>
      </c>
      <c r="I144" s="81"/>
      <c r="J144" s="81" t="str">
        <f ca="1">IF(B144="","",(C144*Thresholds_Rates!$C$12))</f>
        <v/>
      </c>
      <c r="K144" s="81"/>
      <c r="L144" s="68"/>
      <c r="M144" s="81" t="str">
        <f t="shared" ca="1" si="12"/>
        <v/>
      </c>
      <c r="N144" s="81" t="str">
        <f t="shared" ca="1" si="13"/>
        <v/>
      </c>
      <c r="O144" s="81" t="str">
        <f t="shared" ca="1" si="14"/>
        <v/>
      </c>
      <c r="P144" s="81" t="str">
        <f t="shared" ca="1" si="15"/>
        <v/>
      </c>
      <c r="Q144" s="81" t="str">
        <f t="shared" ca="1" si="16"/>
        <v/>
      </c>
      <c r="R144" s="39"/>
      <c r="S144" s="83"/>
      <c r="T144" s="84"/>
      <c r="U144" s="83"/>
      <c r="V144" s="84"/>
      <c r="Z144" s="39"/>
      <c r="AA144" s="39"/>
      <c r="AB144" s="39"/>
      <c r="AC144" s="39"/>
      <c r="AD144" s="39"/>
      <c r="AE144" s="39"/>
      <c r="AF144" s="39"/>
      <c r="AO144" s="39"/>
      <c r="AP144" s="39"/>
      <c r="AQ144" s="39"/>
      <c r="AR144" s="39"/>
      <c r="AS144" s="39"/>
      <c r="AT144" s="39"/>
      <c r="AU144" s="39"/>
      <c r="AV144" s="39"/>
      <c r="AW144" s="39"/>
      <c r="AX144" s="39"/>
      <c r="AY144" s="39"/>
      <c r="AZ144" s="39"/>
      <c r="BA144" s="39"/>
      <c r="BB144" s="39"/>
      <c r="BC144" s="39"/>
    </row>
    <row r="145" spans="2:55" s="69" customFormat="1" x14ac:dyDescent="0.25">
      <c r="B145" s="68" t="str">
        <f ca="1">IFERROR(INDEX('Points Lookup'!$A:$A,MATCH($AA147,'Points Lookup'!$AN:$AN,0)),"")</f>
        <v/>
      </c>
      <c r="C145" s="81" t="str">
        <f ca="1">IF(B145="","",SUMIF(INDIRECT("'Points Lookup'!"&amp;VLOOKUP($B$2,Grades!A:BU,72,FALSE)&amp;":"&amp;VLOOKUP($B$2,Grades!A:BU,72,FALSE)),B145,INDIRECT("'Points Lookup'!"&amp;VLOOKUP($B$2,Grades!A:BU,73,FALSE)&amp;":"&amp;VLOOKUP($B$2,Grades!A:BU,73,FALSE))))</f>
        <v/>
      </c>
      <c r="D145" s="81"/>
      <c r="E145" s="81"/>
      <c r="F145" s="81" t="str">
        <f ca="1">IF($B145="","",IF(SUMIF(Grades!$A:$A,$B$2,Grades!$BO:$BO)=0,"-",IF(AND(VLOOKUP($B$2,Grades!$A:$BV,74,FALSE)="YES",B145&lt;Thresholds_Rates!$C$16),"-",$C145*Thresholds_Rates!$F$15)))</f>
        <v/>
      </c>
      <c r="G145" s="81" t="str">
        <f ca="1">IF(B145="","",IF($B$2="Salary Points 1 to 57","-",IF(SUMIF(Grades!$A:$A,$B$2,Grades!$BP:$BP)=0,"-",IF(AND(OR($B$2="New Consultant Contract"),$B145&lt;&gt;""),$C145*Thresholds_Rates!$F$16,IF(AND(OR($B$2="Clinical Lecturer / Medical Research Fellow",$B$2="Clinical Consultant - Old Contract (GP)"),$B145&lt;&gt;""),$C145*Thresholds_Rates!$F$16,IF(AND(OR($B$2="APM Level 7",$B$2="R&amp;T Level 7"),F145&lt;&gt;""),$C145*Thresholds_Rates!$F$16,IF(SUMIF(Grades!$A:$A,$B$2,Grades!$BP:$BP)=1,$C145*Thresholds_Rates!$F$16,"")))))))</f>
        <v/>
      </c>
      <c r="H145" s="81" t="str">
        <f ca="1">IF(B145="","",IF(SUMIF(Grades!$A:$A,$B$2,Grades!$BQ:$BQ)=0,"-",IF(AND($B$2="Salary Points 1 to 57",B145&gt;Thresholds_Rates!$C$17),"-",IF(AND($B$2="Salary Points 1 to 57",B145&lt;=Thresholds_Rates!$C$17),$C145*Thresholds_Rates!$F$17,IF(AND(OR($B$2="New Consultant Contract"),$B145&lt;&gt;""),$C145*Thresholds_Rates!$F$17,IF(AND(OR($B$2="Clinical Lecturer / Medical Research Fellow",$B$2="Clinical Consultant - Old Contract (GP)"),$B145&lt;&gt;""),$C145*Thresholds_Rates!$F$17,IF(AND(OR($B$2="APM Level 7",$B$2="R&amp;T Level 7"),G145&lt;&gt;""),$C145*Thresholds_Rates!$F$17,IF(SUMIF(Grades!$A:$A,$B$2,Grades!$BQ:$BQ)=1,$C145*Thresholds_Rates!$F$17,""))))))))</f>
        <v/>
      </c>
      <c r="I145" s="81"/>
      <c r="J145" s="81" t="str">
        <f ca="1">IF(B145="","",(C145*Thresholds_Rates!$C$12))</f>
        <v/>
      </c>
      <c r="K145" s="81"/>
      <c r="L145" s="68"/>
      <c r="M145" s="81" t="str">
        <f t="shared" ca="1" si="12"/>
        <v/>
      </c>
      <c r="N145" s="81" t="str">
        <f t="shared" ca="1" si="13"/>
        <v/>
      </c>
      <c r="O145" s="81" t="str">
        <f t="shared" ca="1" si="14"/>
        <v/>
      </c>
      <c r="P145" s="81" t="str">
        <f t="shared" ca="1" si="15"/>
        <v/>
      </c>
      <c r="Q145" s="81" t="str">
        <f t="shared" ca="1" si="16"/>
        <v/>
      </c>
      <c r="R145" s="39"/>
      <c r="S145" s="83"/>
      <c r="T145" s="84"/>
      <c r="U145" s="83"/>
      <c r="V145" s="84"/>
      <c r="Z145" s="39"/>
      <c r="AA145" s="39"/>
      <c r="AB145" s="39"/>
      <c r="AC145" s="39"/>
      <c r="AD145" s="39"/>
      <c r="AE145" s="39"/>
      <c r="AF145" s="39"/>
      <c r="AO145" s="39"/>
      <c r="AP145" s="39"/>
      <c r="AQ145" s="39"/>
      <c r="AR145" s="39"/>
      <c r="AS145" s="39"/>
      <c r="AT145" s="39"/>
      <c r="AU145" s="39"/>
      <c r="AV145" s="39"/>
      <c r="AW145" s="39"/>
      <c r="AX145" s="39"/>
      <c r="AY145" s="39"/>
      <c r="AZ145" s="39"/>
      <c r="BA145" s="39"/>
      <c r="BB145" s="39"/>
      <c r="BC145" s="39"/>
    </row>
    <row r="146" spans="2:55" s="69" customFormat="1" x14ac:dyDescent="0.25">
      <c r="B146" s="68" t="str">
        <f ca="1">IFERROR(INDEX('Points Lookup'!$A:$A,MATCH($AA148,'Points Lookup'!$AN:$AN,0)),"")</f>
        <v/>
      </c>
      <c r="C146" s="81" t="str">
        <f ca="1">IF(B146="","",SUMIF(INDIRECT("'Points Lookup'!"&amp;VLOOKUP($B$2,Grades!A:BU,72,FALSE)&amp;":"&amp;VLOOKUP($B$2,Grades!A:BU,72,FALSE)),B146,INDIRECT("'Points Lookup'!"&amp;VLOOKUP($B$2,Grades!A:BU,73,FALSE)&amp;":"&amp;VLOOKUP($B$2,Grades!A:BU,73,FALSE))))</f>
        <v/>
      </c>
      <c r="D146" s="81"/>
      <c r="E146" s="81"/>
      <c r="F146" s="81" t="str">
        <f ca="1">IF($B146="","",IF(SUMIF(Grades!$A:$A,$B$2,Grades!$BO:$BO)=0,"-",IF(AND(VLOOKUP($B$2,Grades!$A:$BV,74,FALSE)="YES",B146&lt;Thresholds_Rates!$C$16),"-",$C146*Thresholds_Rates!$F$15)))</f>
        <v/>
      </c>
      <c r="G146" s="81" t="str">
        <f ca="1">IF(B146="","",IF($B$2="Salary Points 1 to 57","-",IF(SUMIF(Grades!$A:$A,$B$2,Grades!$BP:$BP)=0,"-",IF(AND(OR($B$2="New Consultant Contract"),$B146&lt;&gt;""),$C146*Thresholds_Rates!$F$16,IF(AND(OR($B$2="Clinical Lecturer / Medical Research Fellow",$B$2="Clinical Consultant - Old Contract (GP)"),$B146&lt;&gt;""),$C146*Thresholds_Rates!$F$16,IF(AND(OR($B$2="APM Level 7",$B$2="R&amp;T Level 7"),F146&lt;&gt;""),$C146*Thresholds_Rates!$F$16,IF(SUMIF(Grades!$A:$A,$B$2,Grades!$BP:$BP)=1,$C146*Thresholds_Rates!$F$16,"")))))))</f>
        <v/>
      </c>
      <c r="H146" s="81" t="str">
        <f ca="1">IF(B146="","",IF(SUMIF(Grades!$A:$A,$B$2,Grades!$BQ:$BQ)=0,"-",IF(AND($B$2="Salary Points 1 to 57",B146&gt;Thresholds_Rates!$C$17),"-",IF(AND($B$2="Salary Points 1 to 57",B146&lt;=Thresholds_Rates!$C$17),$C146*Thresholds_Rates!$F$17,IF(AND(OR($B$2="New Consultant Contract"),$B146&lt;&gt;""),$C146*Thresholds_Rates!$F$17,IF(AND(OR($B$2="Clinical Lecturer / Medical Research Fellow",$B$2="Clinical Consultant - Old Contract (GP)"),$B146&lt;&gt;""),$C146*Thresholds_Rates!$F$17,IF(AND(OR($B$2="APM Level 7",$B$2="R&amp;T Level 7"),G146&lt;&gt;""),$C146*Thresholds_Rates!$F$17,IF(SUMIF(Grades!$A:$A,$B$2,Grades!$BQ:$BQ)=1,$C146*Thresholds_Rates!$F$17,""))))))))</f>
        <v/>
      </c>
      <c r="I146" s="81"/>
      <c r="J146" s="81" t="str">
        <f ca="1">IF(B146="","",(C146*Thresholds_Rates!$C$12))</f>
        <v/>
      </c>
      <c r="K146" s="81"/>
      <c r="L146" s="68"/>
      <c r="M146" s="81" t="str">
        <f t="shared" ca="1" si="12"/>
        <v/>
      </c>
      <c r="N146" s="81" t="str">
        <f t="shared" ca="1" si="13"/>
        <v/>
      </c>
      <c r="O146" s="81" t="str">
        <f t="shared" ca="1" si="14"/>
        <v/>
      </c>
      <c r="P146" s="81" t="str">
        <f t="shared" ca="1" si="15"/>
        <v/>
      </c>
      <c r="Q146" s="81" t="str">
        <f t="shared" ca="1" si="16"/>
        <v/>
      </c>
      <c r="R146" s="39"/>
      <c r="S146" s="83"/>
      <c r="T146" s="84"/>
      <c r="U146" s="83"/>
      <c r="V146" s="84"/>
      <c r="Z146" s="39"/>
      <c r="AA146" s="39"/>
      <c r="AB146" s="39"/>
      <c r="AC146" s="39"/>
      <c r="AD146" s="39"/>
      <c r="AE146" s="39"/>
      <c r="AF146" s="39"/>
      <c r="AO146" s="39"/>
      <c r="AP146" s="39"/>
      <c r="AQ146" s="39"/>
      <c r="AR146" s="39"/>
      <c r="AS146" s="39"/>
      <c r="AT146" s="39"/>
      <c r="AU146" s="39"/>
      <c r="AV146" s="39"/>
      <c r="AW146" s="39"/>
      <c r="AX146" s="39"/>
      <c r="AY146" s="39"/>
      <c r="AZ146" s="39"/>
      <c r="BA146" s="39"/>
      <c r="BB146" s="39"/>
      <c r="BC146" s="39"/>
    </row>
    <row r="147" spans="2:55" s="69" customFormat="1" x14ac:dyDescent="0.25">
      <c r="B147" s="68" t="str">
        <f ca="1">IFERROR(INDEX('Points Lookup'!$A:$A,MATCH($AA149,'Points Lookup'!$AN:$AN,0)),"")</f>
        <v/>
      </c>
      <c r="C147" s="81" t="str">
        <f ca="1">IF(B147="","",SUMIF(INDIRECT("'Points Lookup'!"&amp;VLOOKUP($B$2,Grades!A:BU,72,FALSE)&amp;":"&amp;VLOOKUP($B$2,Grades!A:BU,72,FALSE)),B147,INDIRECT("'Points Lookup'!"&amp;VLOOKUP($B$2,Grades!A:BU,73,FALSE)&amp;":"&amp;VLOOKUP($B$2,Grades!A:BU,73,FALSE))))</f>
        <v/>
      </c>
      <c r="D147" s="81"/>
      <c r="E147" s="81"/>
      <c r="F147" s="81" t="str">
        <f ca="1">IF($B147="","",IF(SUMIF(Grades!$A:$A,$B$2,Grades!$BO:$BO)=0,"-",IF(AND(VLOOKUP($B$2,Grades!$A:$BV,74,FALSE)="YES",B147&lt;Thresholds_Rates!$C$16),"-",$C147*Thresholds_Rates!$F$15)))</f>
        <v/>
      </c>
      <c r="G147" s="81" t="str">
        <f ca="1">IF(B147="","",IF($B$2="Salary Points 1 to 57","-",IF(SUMIF(Grades!$A:$A,$B$2,Grades!$BP:$BP)=0,"-",IF(AND(OR($B$2="New Consultant Contract"),$B147&lt;&gt;""),$C147*Thresholds_Rates!$F$16,IF(AND(OR($B$2="Clinical Lecturer / Medical Research Fellow",$B$2="Clinical Consultant - Old Contract (GP)"),$B147&lt;&gt;""),$C147*Thresholds_Rates!$F$16,IF(AND(OR($B$2="APM Level 7",$B$2="R&amp;T Level 7"),F147&lt;&gt;""),$C147*Thresholds_Rates!$F$16,IF(SUMIF(Grades!$A:$A,$B$2,Grades!$BP:$BP)=1,$C147*Thresholds_Rates!$F$16,"")))))))</f>
        <v/>
      </c>
      <c r="H147" s="81" t="str">
        <f ca="1">IF(B147="","",IF(SUMIF(Grades!$A:$A,$B$2,Grades!$BQ:$BQ)=0,"-",IF(AND($B$2="Salary Points 1 to 57",B147&gt;Thresholds_Rates!$C$17),"-",IF(AND($B$2="Salary Points 1 to 57",B147&lt;=Thresholds_Rates!$C$17),$C147*Thresholds_Rates!$F$17,IF(AND(OR($B$2="New Consultant Contract"),$B147&lt;&gt;""),$C147*Thresholds_Rates!$F$17,IF(AND(OR($B$2="Clinical Lecturer / Medical Research Fellow",$B$2="Clinical Consultant - Old Contract (GP)"),$B147&lt;&gt;""),$C147*Thresholds_Rates!$F$17,IF(AND(OR($B$2="APM Level 7",$B$2="R&amp;T Level 7"),G147&lt;&gt;""),$C147*Thresholds_Rates!$F$17,IF(SUMIF(Grades!$A:$A,$B$2,Grades!$BQ:$BQ)=1,$C147*Thresholds_Rates!$F$17,""))))))))</f>
        <v/>
      </c>
      <c r="I147" s="81"/>
      <c r="J147" s="81" t="str">
        <f ca="1">IF(B147="","",(C147*Thresholds_Rates!$C$12))</f>
        <v/>
      </c>
      <c r="K147" s="81"/>
      <c r="L147" s="68"/>
      <c r="M147" s="81" t="str">
        <f t="shared" ca="1" si="12"/>
        <v/>
      </c>
      <c r="N147" s="81" t="str">
        <f t="shared" ca="1" si="13"/>
        <v/>
      </c>
      <c r="O147" s="81" t="str">
        <f t="shared" ca="1" si="14"/>
        <v/>
      </c>
      <c r="P147" s="81" t="str">
        <f t="shared" ca="1" si="15"/>
        <v/>
      </c>
      <c r="Q147" s="81" t="str">
        <f t="shared" ca="1" si="16"/>
        <v/>
      </c>
      <c r="R147" s="39"/>
      <c r="S147" s="83"/>
      <c r="T147" s="84"/>
      <c r="U147" s="83"/>
      <c r="V147" s="84"/>
      <c r="Z147" s="39"/>
      <c r="AA147" s="39"/>
      <c r="AB147" s="39"/>
      <c r="AC147" s="39"/>
      <c r="AD147" s="39"/>
      <c r="AE147" s="39"/>
      <c r="AF147" s="39"/>
      <c r="AO147" s="39"/>
      <c r="AP147" s="39"/>
      <c r="AQ147" s="39"/>
      <c r="AR147" s="39"/>
      <c r="AS147" s="39"/>
      <c r="AT147" s="39"/>
      <c r="AU147" s="39"/>
      <c r="AV147" s="39"/>
      <c r="AW147" s="39"/>
      <c r="AX147" s="39"/>
      <c r="AY147" s="39"/>
      <c r="AZ147" s="39"/>
      <c r="BA147" s="39"/>
      <c r="BB147" s="39"/>
      <c r="BC147" s="39"/>
    </row>
    <row r="148" spans="2:55" s="69" customFormat="1" x14ac:dyDescent="0.25">
      <c r="B148" s="68" t="str">
        <f ca="1">IFERROR(INDEX('Points Lookup'!$A:$A,MATCH($AA150,'Points Lookup'!$AN:$AN,0)),"")</f>
        <v/>
      </c>
      <c r="C148" s="81" t="str">
        <f ca="1">IF(B148="","",SUMIF(INDIRECT("'Points Lookup'!"&amp;VLOOKUP($B$2,Grades!A:BU,72,FALSE)&amp;":"&amp;VLOOKUP($B$2,Grades!A:BU,72,FALSE)),B148,INDIRECT("'Points Lookup'!"&amp;VLOOKUP($B$2,Grades!A:BU,73,FALSE)&amp;":"&amp;VLOOKUP($B$2,Grades!A:BU,73,FALSE))))</f>
        <v/>
      </c>
      <c r="D148" s="81"/>
      <c r="E148" s="81"/>
      <c r="F148" s="81" t="str">
        <f ca="1">IF($B148="","",IF(SUMIF(Grades!$A:$A,$B$2,Grades!$BO:$BO)=0,"-",IF(AND(VLOOKUP($B$2,Grades!$A:$BV,74,FALSE)="YES",B148&lt;Thresholds_Rates!$C$16),"-",$C148*Thresholds_Rates!$F$15)))</f>
        <v/>
      </c>
      <c r="G148" s="81" t="str">
        <f ca="1">IF(B148="","",IF($B$2="Salary Points 1 to 57","-",IF(SUMIF(Grades!$A:$A,$B$2,Grades!$BP:$BP)=0,"-",IF(AND(OR($B$2="New Consultant Contract"),$B148&lt;&gt;""),$C148*Thresholds_Rates!$F$16,IF(AND(OR($B$2="Clinical Lecturer / Medical Research Fellow",$B$2="Clinical Consultant - Old Contract (GP)"),$B148&lt;&gt;""),$C148*Thresholds_Rates!$F$16,IF(AND(OR($B$2="APM Level 7",$B$2="R&amp;T Level 7"),F148&lt;&gt;""),$C148*Thresholds_Rates!$F$16,IF(SUMIF(Grades!$A:$A,$B$2,Grades!$BP:$BP)=1,$C148*Thresholds_Rates!$F$16,"")))))))</f>
        <v/>
      </c>
      <c r="H148" s="81" t="str">
        <f ca="1">IF(B148="","",IF(SUMIF(Grades!$A:$A,$B$2,Grades!$BQ:$BQ)=0,"-",IF(AND($B$2="Salary Points 1 to 57",B148&gt;Thresholds_Rates!$C$17),"-",IF(AND($B$2="Salary Points 1 to 57",B148&lt;=Thresholds_Rates!$C$17),$C148*Thresholds_Rates!$F$17,IF(AND(OR($B$2="New Consultant Contract"),$B148&lt;&gt;""),$C148*Thresholds_Rates!$F$17,IF(AND(OR($B$2="Clinical Lecturer / Medical Research Fellow",$B$2="Clinical Consultant - Old Contract (GP)"),$B148&lt;&gt;""),$C148*Thresholds_Rates!$F$17,IF(AND(OR($B$2="APM Level 7",$B$2="R&amp;T Level 7"),G148&lt;&gt;""),$C148*Thresholds_Rates!$F$17,IF(SUMIF(Grades!$A:$A,$B$2,Grades!$BQ:$BQ)=1,$C148*Thresholds_Rates!$F$17,""))))))))</f>
        <v/>
      </c>
      <c r="I148" s="81"/>
      <c r="J148" s="81" t="str">
        <f ca="1">IF(B148="","",(C148*Thresholds_Rates!$C$12))</f>
        <v/>
      </c>
      <c r="K148" s="81"/>
      <c r="L148" s="68"/>
      <c r="M148" s="81" t="str">
        <f t="shared" ca="1" si="12"/>
        <v/>
      </c>
      <c r="N148" s="81" t="str">
        <f t="shared" ca="1" si="13"/>
        <v/>
      </c>
      <c r="O148" s="81" t="str">
        <f t="shared" ca="1" si="14"/>
        <v/>
      </c>
      <c r="P148" s="81" t="str">
        <f t="shared" ca="1" si="15"/>
        <v/>
      </c>
      <c r="Q148" s="81" t="str">
        <f t="shared" ca="1" si="16"/>
        <v/>
      </c>
      <c r="R148" s="39"/>
      <c r="S148" s="83"/>
      <c r="T148" s="84"/>
      <c r="U148" s="83"/>
      <c r="V148" s="84"/>
      <c r="Z148" s="39"/>
      <c r="AA148" s="39"/>
      <c r="AB148" s="39"/>
      <c r="AC148" s="39"/>
      <c r="AD148" s="39"/>
      <c r="AE148" s="39"/>
      <c r="AF148" s="39"/>
      <c r="AO148" s="39"/>
      <c r="AP148" s="39"/>
      <c r="AQ148" s="39"/>
      <c r="AR148" s="39"/>
      <c r="AS148" s="39"/>
      <c r="AT148" s="39"/>
      <c r="AU148" s="39"/>
      <c r="AV148" s="39"/>
      <c r="AW148" s="39"/>
      <c r="AX148" s="39"/>
      <c r="AY148" s="39"/>
      <c r="AZ148" s="39"/>
      <c r="BA148" s="39"/>
      <c r="BB148" s="39"/>
      <c r="BC148" s="39"/>
    </row>
    <row r="149" spans="2:55" s="69" customFormat="1" x14ac:dyDescent="0.25">
      <c r="B149" s="68" t="str">
        <f ca="1">IFERROR(INDEX('Points Lookup'!$A:$A,MATCH($AA151,'Points Lookup'!$AN:$AN,0)),"")</f>
        <v/>
      </c>
      <c r="C149" s="81" t="str">
        <f ca="1">IF(B149="","",SUMIF(INDIRECT("'Points Lookup'!"&amp;VLOOKUP($B$2,Grades!A:BU,72,FALSE)&amp;":"&amp;VLOOKUP($B$2,Grades!A:BU,72,FALSE)),B149,INDIRECT("'Points Lookup'!"&amp;VLOOKUP($B$2,Grades!A:BU,73,FALSE)&amp;":"&amp;VLOOKUP($B$2,Grades!A:BU,73,FALSE))))</f>
        <v/>
      </c>
      <c r="D149" s="81"/>
      <c r="E149" s="81"/>
      <c r="F149" s="81" t="str">
        <f ca="1">IF($B149="","",IF(SUMIF(Grades!$A:$A,$B$2,Grades!$BO:$BO)=0,"-",IF(AND(VLOOKUP($B$2,Grades!$A:$BV,74,FALSE)="YES",B149&lt;Thresholds_Rates!$C$16),"-",$C149*Thresholds_Rates!$F$15)))</f>
        <v/>
      </c>
      <c r="G149" s="81" t="str">
        <f ca="1">IF(B149="","",IF($B$2="Salary Points 1 to 57","-",IF(SUMIF(Grades!$A:$A,$B$2,Grades!$BP:$BP)=0,"-",IF(AND(OR($B$2="New Consultant Contract"),$B149&lt;&gt;""),$C149*Thresholds_Rates!$F$16,IF(AND(OR($B$2="Clinical Lecturer / Medical Research Fellow",$B$2="Clinical Consultant - Old Contract (GP)"),$B149&lt;&gt;""),$C149*Thresholds_Rates!$F$16,IF(AND(OR($B$2="APM Level 7",$B$2="R&amp;T Level 7"),F149&lt;&gt;""),$C149*Thresholds_Rates!$F$16,IF(SUMIF(Grades!$A:$A,$B$2,Grades!$BP:$BP)=1,$C149*Thresholds_Rates!$F$16,"")))))))</f>
        <v/>
      </c>
      <c r="H149" s="81" t="str">
        <f ca="1">IF(B149="","",IF(SUMIF(Grades!$A:$A,$B$2,Grades!$BQ:$BQ)=0,"-",IF(AND($B$2="Salary Points 1 to 57",B149&gt;Thresholds_Rates!$C$17),"-",IF(AND($B$2="Salary Points 1 to 57",B149&lt;=Thresholds_Rates!$C$17),$C149*Thresholds_Rates!$F$17,IF(AND(OR($B$2="New Consultant Contract"),$B149&lt;&gt;""),$C149*Thresholds_Rates!$F$17,IF(AND(OR($B$2="Clinical Lecturer / Medical Research Fellow",$B$2="Clinical Consultant - Old Contract (GP)"),$B149&lt;&gt;""),$C149*Thresholds_Rates!$F$17,IF(AND(OR($B$2="APM Level 7",$B$2="R&amp;T Level 7"),G149&lt;&gt;""),$C149*Thresholds_Rates!$F$17,IF(SUMIF(Grades!$A:$A,$B$2,Grades!$BQ:$BQ)=1,$C149*Thresholds_Rates!$F$17,""))))))))</f>
        <v/>
      </c>
      <c r="I149" s="81"/>
      <c r="J149" s="81" t="str">
        <f ca="1">IF(B149="","",(C149*Thresholds_Rates!$C$12))</f>
        <v/>
      </c>
      <c r="K149" s="81"/>
      <c r="L149" s="68"/>
      <c r="M149" s="81" t="str">
        <f t="shared" ca="1" si="12"/>
        <v/>
      </c>
      <c r="N149" s="81" t="str">
        <f t="shared" ca="1" si="13"/>
        <v/>
      </c>
      <c r="O149" s="81" t="str">
        <f t="shared" ca="1" si="14"/>
        <v/>
      </c>
      <c r="P149" s="81" t="str">
        <f t="shared" ca="1" si="15"/>
        <v/>
      </c>
      <c r="Q149" s="81" t="str">
        <f t="shared" ca="1" si="16"/>
        <v/>
      </c>
      <c r="R149" s="39"/>
      <c r="S149" s="83"/>
      <c r="T149" s="84"/>
      <c r="U149" s="83"/>
      <c r="V149" s="84"/>
      <c r="Z149" s="39"/>
      <c r="AA149" s="39"/>
      <c r="AB149" s="39"/>
      <c r="AC149" s="39"/>
      <c r="AD149" s="39"/>
      <c r="AE149" s="39"/>
      <c r="AF149" s="39"/>
      <c r="AO149" s="39"/>
      <c r="AP149" s="39"/>
      <c r="AQ149" s="39"/>
      <c r="AR149" s="39"/>
      <c r="AS149" s="39"/>
      <c r="AT149" s="39"/>
      <c r="AU149" s="39"/>
      <c r="AV149" s="39"/>
      <c r="AW149" s="39"/>
      <c r="AX149" s="39"/>
      <c r="AY149" s="39"/>
      <c r="AZ149" s="39"/>
      <c r="BA149" s="39"/>
      <c r="BB149" s="39"/>
      <c r="BC149" s="39"/>
    </row>
    <row r="150" spans="2:55" s="69" customFormat="1" x14ac:dyDescent="0.25">
      <c r="B150" s="68" t="str">
        <f ca="1">IFERROR(INDEX('Points Lookup'!$A:$A,MATCH($AA152,'Points Lookup'!$AN:$AN,0)),"")</f>
        <v/>
      </c>
      <c r="C150" s="81" t="str">
        <f ca="1">IF(B150="","",SUMIF(INDIRECT("'Points Lookup'!"&amp;VLOOKUP($B$2,Grades!A:BU,72,FALSE)&amp;":"&amp;VLOOKUP($B$2,Grades!A:BU,72,FALSE)),B150,INDIRECT("'Points Lookup'!"&amp;VLOOKUP($B$2,Grades!A:BU,73,FALSE)&amp;":"&amp;VLOOKUP($B$2,Grades!A:BU,73,FALSE))))</f>
        <v/>
      </c>
      <c r="D150" s="81"/>
      <c r="E150" s="81"/>
      <c r="F150" s="81" t="str">
        <f ca="1">IF($B150="","",IF(SUMIF(Grades!$A:$A,$B$2,Grades!$BO:$BO)=0,"-",IF(AND(VLOOKUP($B$2,Grades!$A:$BV,74,FALSE)="YES",B150&lt;Thresholds_Rates!$C$16),"-",$C150*Thresholds_Rates!$F$15)))</f>
        <v/>
      </c>
      <c r="G150" s="81" t="str">
        <f ca="1">IF(B150="","",IF($B$2="Salary Points 1 to 57","-",IF(SUMIF(Grades!$A:$A,$B$2,Grades!$BP:$BP)=0,"-",IF(AND(OR($B$2="New Consultant Contract"),$B150&lt;&gt;""),$C150*Thresholds_Rates!$F$16,IF(AND(OR($B$2="Clinical Lecturer / Medical Research Fellow",$B$2="Clinical Consultant - Old Contract (GP)"),$B150&lt;&gt;""),$C150*Thresholds_Rates!$F$16,IF(AND(OR($B$2="APM Level 7",$B$2="R&amp;T Level 7"),F150&lt;&gt;""),$C150*Thresholds_Rates!$F$16,IF(SUMIF(Grades!$A:$A,$B$2,Grades!$BP:$BP)=1,$C150*Thresholds_Rates!$F$16,"")))))))</f>
        <v/>
      </c>
      <c r="H150" s="81" t="str">
        <f ca="1">IF(B150="","",IF(SUMIF(Grades!$A:$A,$B$2,Grades!$BQ:$BQ)=0,"-",IF(AND($B$2="Salary Points 1 to 57",B150&gt;Thresholds_Rates!$C$17),"-",IF(AND($B$2="Salary Points 1 to 57",B150&lt;=Thresholds_Rates!$C$17),$C150*Thresholds_Rates!$F$17,IF(AND(OR($B$2="New Consultant Contract"),$B150&lt;&gt;""),$C150*Thresholds_Rates!$F$17,IF(AND(OR($B$2="Clinical Lecturer / Medical Research Fellow",$B$2="Clinical Consultant - Old Contract (GP)"),$B150&lt;&gt;""),$C150*Thresholds_Rates!$F$17,IF(AND(OR($B$2="APM Level 7",$B$2="R&amp;T Level 7"),G150&lt;&gt;""),$C150*Thresholds_Rates!$F$17,IF(SUMIF(Grades!$A:$A,$B$2,Grades!$BQ:$BQ)=1,$C150*Thresholds_Rates!$F$17,""))))))))</f>
        <v/>
      </c>
      <c r="I150" s="81"/>
      <c r="J150" s="81" t="str">
        <f ca="1">IF(B150="","",(C150*Thresholds_Rates!$C$12))</f>
        <v/>
      </c>
      <c r="K150" s="81"/>
      <c r="L150" s="68"/>
      <c r="M150" s="81" t="str">
        <f t="shared" ca="1" si="12"/>
        <v/>
      </c>
      <c r="N150" s="81" t="str">
        <f t="shared" ca="1" si="13"/>
        <v/>
      </c>
      <c r="O150" s="81" t="str">
        <f t="shared" ca="1" si="14"/>
        <v/>
      </c>
      <c r="P150" s="81" t="str">
        <f t="shared" ca="1" si="15"/>
        <v/>
      </c>
      <c r="Q150" s="81" t="str">
        <f t="shared" ca="1" si="16"/>
        <v/>
      </c>
      <c r="R150" s="39"/>
      <c r="S150" s="83"/>
      <c r="T150" s="84"/>
      <c r="U150" s="83"/>
      <c r="V150" s="84"/>
      <c r="Z150" s="39"/>
      <c r="AA150" s="39"/>
      <c r="AB150" s="39"/>
      <c r="AC150" s="39"/>
      <c r="AD150" s="39"/>
      <c r="AE150" s="39"/>
      <c r="AF150" s="39"/>
      <c r="AO150" s="39"/>
      <c r="AP150" s="39"/>
      <c r="AQ150" s="39"/>
      <c r="AR150" s="39"/>
      <c r="AS150" s="39"/>
      <c r="AT150" s="39"/>
      <c r="AU150" s="39"/>
      <c r="AV150" s="39"/>
      <c r="AW150" s="39"/>
      <c r="AX150" s="39"/>
      <c r="AY150" s="39"/>
      <c r="AZ150" s="39"/>
      <c r="BA150" s="39"/>
      <c r="BB150" s="39"/>
      <c r="BC150" s="39"/>
    </row>
    <row r="151" spans="2:55" s="69" customFormat="1" x14ac:dyDescent="0.25">
      <c r="B151" s="68" t="str">
        <f ca="1">IFERROR(INDEX('Points Lookup'!$A:$A,MATCH($AA153,'Points Lookup'!$AN:$AN,0)),"")</f>
        <v/>
      </c>
      <c r="C151" s="81" t="str">
        <f ca="1">IF(B151="","",SUMIF(INDIRECT("'Points Lookup'!"&amp;VLOOKUP($B$2,Grades!A:BU,72,FALSE)&amp;":"&amp;VLOOKUP($B$2,Grades!A:BU,72,FALSE)),B151,INDIRECT("'Points Lookup'!"&amp;VLOOKUP($B$2,Grades!A:BU,73,FALSE)&amp;":"&amp;VLOOKUP($B$2,Grades!A:BU,73,FALSE))))</f>
        <v/>
      </c>
      <c r="D151" s="81"/>
      <c r="E151" s="81"/>
      <c r="F151" s="81" t="str">
        <f ca="1">IF($B151="","",IF(SUMIF(Grades!$A:$A,$B$2,Grades!$BO:$BO)=0,"-",IF(AND(VLOOKUP($B$2,Grades!$A:$BV,74,FALSE)="YES",B151&lt;Thresholds_Rates!$C$16),"-",$C151*Thresholds_Rates!$F$15)))</f>
        <v/>
      </c>
      <c r="G151" s="81" t="str">
        <f ca="1">IF(B151="","",IF($B$2="Salary Points 1 to 57","-",IF(SUMIF(Grades!$A:$A,$B$2,Grades!$BP:$BP)=0,"-",IF(AND(OR($B$2="New Consultant Contract"),$B151&lt;&gt;""),$C151*Thresholds_Rates!$F$16,IF(AND(OR($B$2="Clinical Lecturer / Medical Research Fellow",$B$2="Clinical Consultant - Old Contract (GP)"),$B151&lt;&gt;""),$C151*Thresholds_Rates!$F$16,IF(AND(OR($B$2="APM Level 7",$B$2="R&amp;T Level 7"),F151&lt;&gt;""),$C151*Thresholds_Rates!$F$16,IF(SUMIF(Grades!$A:$A,$B$2,Grades!$BP:$BP)=1,$C151*Thresholds_Rates!$F$16,"")))))))</f>
        <v/>
      </c>
      <c r="H151" s="81" t="str">
        <f ca="1">IF(B151="","",IF(SUMIF(Grades!$A:$A,$B$2,Grades!$BQ:$BQ)=0,"-",IF(AND($B$2="Salary Points 1 to 57",B151&gt;Thresholds_Rates!$C$17),"-",IF(AND($B$2="Salary Points 1 to 57",B151&lt;=Thresholds_Rates!$C$17),$C151*Thresholds_Rates!$F$17,IF(AND(OR($B$2="New Consultant Contract"),$B151&lt;&gt;""),$C151*Thresholds_Rates!$F$17,IF(AND(OR($B$2="Clinical Lecturer / Medical Research Fellow",$B$2="Clinical Consultant - Old Contract (GP)"),$B151&lt;&gt;""),$C151*Thresholds_Rates!$F$17,IF(AND(OR($B$2="APM Level 7",$B$2="R&amp;T Level 7"),G151&lt;&gt;""),$C151*Thresholds_Rates!$F$17,IF(SUMIF(Grades!$A:$A,$B$2,Grades!$BQ:$BQ)=1,$C151*Thresholds_Rates!$F$17,""))))))))</f>
        <v/>
      </c>
      <c r="I151" s="81"/>
      <c r="J151" s="81" t="str">
        <f ca="1">IF(B151="","",(C151*Thresholds_Rates!$C$12))</f>
        <v/>
      </c>
      <c r="K151" s="81"/>
      <c r="L151" s="68"/>
      <c r="M151" s="81" t="str">
        <f t="shared" ca="1" si="12"/>
        <v/>
      </c>
      <c r="N151" s="81" t="str">
        <f t="shared" ca="1" si="13"/>
        <v/>
      </c>
      <c r="O151" s="81" t="str">
        <f t="shared" ca="1" si="14"/>
        <v/>
      </c>
      <c r="P151" s="81" t="str">
        <f t="shared" ca="1" si="15"/>
        <v/>
      </c>
      <c r="Q151" s="81" t="str">
        <f t="shared" ca="1" si="16"/>
        <v/>
      </c>
      <c r="R151" s="39"/>
      <c r="S151" s="83"/>
      <c r="T151" s="84"/>
      <c r="U151" s="83"/>
      <c r="V151" s="84"/>
      <c r="Z151" s="39"/>
      <c r="AA151" s="39"/>
      <c r="AB151" s="39"/>
      <c r="AC151" s="39"/>
      <c r="AD151" s="39"/>
      <c r="AE151" s="39"/>
      <c r="AF151" s="39"/>
      <c r="AO151" s="39"/>
      <c r="AP151" s="39"/>
      <c r="AQ151" s="39"/>
      <c r="AR151" s="39"/>
      <c r="AS151" s="39"/>
      <c r="AT151" s="39"/>
      <c r="AU151" s="39"/>
      <c r="AV151" s="39"/>
      <c r="AW151" s="39"/>
      <c r="AX151" s="39"/>
      <c r="AY151" s="39"/>
      <c r="AZ151" s="39"/>
      <c r="BA151" s="39"/>
      <c r="BB151" s="39"/>
      <c r="BC151" s="39"/>
    </row>
    <row r="152" spans="2:55" s="69" customFormat="1" x14ac:dyDescent="0.25">
      <c r="B152" s="68" t="str">
        <f ca="1">IFERROR(INDEX('Points Lookup'!$A:$A,MATCH($AA154,'Points Lookup'!$AN:$AN,0)),"")</f>
        <v/>
      </c>
      <c r="C152" s="81" t="str">
        <f ca="1">IF(B152="","",SUMIF(INDIRECT("'Points Lookup'!"&amp;VLOOKUP($B$2,Grades!A:BU,72,FALSE)&amp;":"&amp;VLOOKUP($B$2,Grades!A:BU,72,FALSE)),B152,INDIRECT("'Points Lookup'!"&amp;VLOOKUP($B$2,Grades!A:BU,73,FALSE)&amp;":"&amp;VLOOKUP($B$2,Grades!A:BU,73,FALSE))))</f>
        <v/>
      </c>
      <c r="D152" s="81"/>
      <c r="E152" s="81"/>
      <c r="F152" s="81" t="str">
        <f ca="1">IF($B152="","",IF(SUMIF(Grades!$A:$A,$B$2,Grades!$BO:$BO)=0,"-",IF(AND(VLOOKUP($B$2,Grades!$A:$BV,74,FALSE)="YES",B152&lt;Thresholds_Rates!$C$16),"-",$C152*Thresholds_Rates!$F$15)))</f>
        <v/>
      </c>
      <c r="G152" s="81" t="str">
        <f ca="1">IF(B152="","",IF($B$2="Salary Points 1 to 57","-",IF(SUMIF(Grades!$A:$A,$B$2,Grades!$BP:$BP)=0,"-",IF(AND(OR($B$2="New Consultant Contract"),$B152&lt;&gt;""),$C152*Thresholds_Rates!$F$16,IF(AND(OR($B$2="Clinical Lecturer / Medical Research Fellow",$B$2="Clinical Consultant - Old Contract (GP)"),$B152&lt;&gt;""),$C152*Thresholds_Rates!$F$16,IF(AND(OR($B$2="APM Level 7",$B$2="R&amp;T Level 7"),F152&lt;&gt;""),$C152*Thresholds_Rates!$F$16,IF(SUMIF(Grades!$A:$A,$B$2,Grades!$BP:$BP)=1,$C152*Thresholds_Rates!$F$16,"")))))))</f>
        <v/>
      </c>
      <c r="H152" s="81" t="str">
        <f ca="1">IF(B152="","",IF(SUMIF(Grades!$A:$A,$B$2,Grades!$BQ:$BQ)=0,"-",IF(AND($B$2="Salary Points 1 to 57",B152&gt;Thresholds_Rates!$C$17),"-",IF(AND($B$2="Salary Points 1 to 57",B152&lt;=Thresholds_Rates!$C$17),$C152*Thresholds_Rates!$F$17,IF(AND(OR($B$2="New Consultant Contract"),$B152&lt;&gt;""),$C152*Thresholds_Rates!$F$17,IF(AND(OR($B$2="Clinical Lecturer / Medical Research Fellow",$B$2="Clinical Consultant - Old Contract (GP)"),$B152&lt;&gt;""),$C152*Thresholds_Rates!$F$17,IF(AND(OR($B$2="APM Level 7",$B$2="R&amp;T Level 7"),G152&lt;&gt;""),$C152*Thresholds_Rates!$F$17,IF(SUMIF(Grades!$A:$A,$B$2,Grades!$BQ:$BQ)=1,$C152*Thresholds_Rates!$F$17,""))))))))</f>
        <v/>
      </c>
      <c r="I152" s="81"/>
      <c r="J152" s="81" t="str">
        <f ca="1">IF(B152="","",(C152*Thresholds_Rates!$C$12))</f>
        <v/>
      </c>
      <c r="K152" s="81"/>
      <c r="L152" s="68"/>
      <c r="M152" s="81" t="str">
        <f t="shared" ca="1" si="12"/>
        <v/>
      </c>
      <c r="N152" s="81" t="str">
        <f t="shared" ca="1" si="13"/>
        <v/>
      </c>
      <c r="O152" s="81" t="str">
        <f t="shared" ca="1" si="14"/>
        <v/>
      </c>
      <c r="P152" s="81" t="str">
        <f t="shared" ca="1" si="15"/>
        <v/>
      </c>
      <c r="Q152" s="81" t="str">
        <f t="shared" ca="1" si="16"/>
        <v/>
      </c>
      <c r="R152" s="39"/>
      <c r="S152" s="83"/>
      <c r="T152" s="84"/>
      <c r="U152" s="83"/>
      <c r="V152" s="84"/>
      <c r="Z152" s="39"/>
      <c r="AA152" s="39"/>
      <c r="AB152" s="39"/>
      <c r="AC152" s="39"/>
      <c r="AD152" s="39"/>
      <c r="AE152" s="39"/>
      <c r="AF152" s="39"/>
      <c r="AO152" s="39"/>
      <c r="AP152" s="39"/>
      <c r="AQ152" s="39"/>
      <c r="AR152" s="39"/>
      <c r="AS152" s="39"/>
      <c r="AT152" s="39"/>
      <c r="AU152" s="39"/>
      <c r="AV152" s="39"/>
      <c r="AW152" s="39"/>
      <c r="AX152" s="39"/>
      <c r="AY152" s="39"/>
      <c r="AZ152" s="39"/>
      <c r="BA152" s="39"/>
      <c r="BB152" s="39"/>
      <c r="BC152" s="39"/>
    </row>
    <row r="153" spans="2:55" s="69" customFormat="1" x14ac:dyDescent="0.25">
      <c r="B153" s="68" t="str">
        <f ca="1">IFERROR(INDEX('Points Lookup'!$A:$A,MATCH($AA155,'Points Lookup'!$AN:$AN,0)),"")</f>
        <v/>
      </c>
      <c r="C153" s="81" t="str">
        <f ca="1">IF(B153="","",SUMIF(INDIRECT("'Points Lookup'!"&amp;VLOOKUP($B$2,Grades!A:BU,72,FALSE)&amp;":"&amp;VLOOKUP($B$2,Grades!A:BU,72,FALSE)),B153,INDIRECT("'Points Lookup'!"&amp;VLOOKUP($B$2,Grades!A:BU,73,FALSE)&amp;":"&amp;VLOOKUP($B$2,Grades!A:BU,73,FALSE))))</f>
        <v/>
      </c>
      <c r="D153" s="81"/>
      <c r="E153" s="81"/>
      <c r="F153" s="81" t="str">
        <f ca="1">IF($B153="","",IF(SUMIF(Grades!$A:$A,$B$2,Grades!$BO:$BO)=0,"-",IF(AND(VLOOKUP($B$2,Grades!$A:$BV,74,FALSE)="YES",B153&lt;Thresholds_Rates!$C$16),"-",$C153*Thresholds_Rates!$F$15)))</f>
        <v/>
      </c>
      <c r="G153" s="81" t="str">
        <f ca="1">IF(B153="","",IF($B$2="Salary Points 1 to 57","-",IF(SUMIF(Grades!$A:$A,$B$2,Grades!$BP:$BP)=0,"-",IF(AND(OR($B$2="New Consultant Contract"),$B153&lt;&gt;""),$C153*Thresholds_Rates!$F$16,IF(AND(OR($B$2="Clinical Lecturer / Medical Research Fellow",$B$2="Clinical Consultant - Old Contract (GP)"),$B153&lt;&gt;""),$C153*Thresholds_Rates!$F$16,IF(AND(OR($B$2="APM Level 7",$B$2="R&amp;T Level 7"),F153&lt;&gt;""),$C153*Thresholds_Rates!$F$16,IF(SUMIF(Grades!$A:$A,$B$2,Grades!$BP:$BP)=1,$C153*Thresholds_Rates!$F$16,"")))))))</f>
        <v/>
      </c>
      <c r="H153" s="81" t="str">
        <f ca="1">IF(B153="","",IF(SUMIF(Grades!$A:$A,$B$2,Grades!$BQ:$BQ)=0,"-",IF(AND($B$2="Salary Points 1 to 57",B153&gt;Thresholds_Rates!$C$17),"-",IF(AND($B$2="Salary Points 1 to 57",B153&lt;=Thresholds_Rates!$C$17),$C153*Thresholds_Rates!$F$17,IF(AND(OR($B$2="New Consultant Contract"),$B153&lt;&gt;""),$C153*Thresholds_Rates!$F$17,IF(AND(OR($B$2="Clinical Lecturer / Medical Research Fellow",$B$2="Clinical Consultant - Old Contract (GP)"),$B153&lt;&gt;""),$C153*Thresholds_Rates!$F$17,IF(AND(OR($B$2="APM Level 7",$B$2="R&amp;T Level 7"),G153&lt;&gt;""),$C153*Thresholds_Rates!$F$17,IF(SUMIF(Grades!$A:$A,$B$2,Grades!$BQ:$BQ)=1,$C153*Thresholds_Rates!$F$17,""))))))))</f>
        <v/>
      </c>
      <c r="I153" s="81"/>
      <c r="J153" s="81" t="str">
        <f ca="1">IF(B153="","",(C153*Thresholds_Rates!$C$12))</f>
        <v/>
      </c>
      <c r="K153" s="81"/>
      <c r="L153" s="68"/>
      <c r="M153" s="81" t="str">
        <f t="shared" ca="1" si="12"/>
        <v/>
      </c>
      <c r="N153" s="81" t="str">
        <f t="shared" ca="1" si="13"/>
        <v/>
      </c>
      <c r="O153" s="81" t="str">
        <f t="shared" ca="1" si="14"/>
        <v/>
      </c>
      <c r="P153" s="81" t="str">
        <f t="shared" ca="1" si="15"/>
        <v/>
      </c>
      <c r="Q153" s="81" t="str">
        <f t="shared" ca="1" si="16"/>
        <v/>
      </c>
      <c r="R153" s="39"/>
      <c r="S153" s="83"/>
      <c r="T153" s="84"/>
      <c r="U153" s="83"/>
      <c r="V153" s="84"/>
      <c r="Z153" s="39"/>
      <c r="AA153" s="39"/>
      <c r="AB153" s="39"/>
      <c r="AC153" s="39"/>
      <c r="AD153" s="39"/>
      <c r="AE153" s="39"/>
      <c r="AF153" s="39"/>
      <c r="AO153" s="39"/>
      <c r="AP153" s="39"/>
      <c r="AQ153" s="39"/>
      <c r="AR153" s="39"/>
      <c r="AS153" s="39"/>
      <c r="AT153" s="39"/>
      <c r="AU153" s="39"/>
      <c r="AV153" s="39"/>
      <c r="AW153" s="39"/>
      <c r="AX153" s="39"/>
      <c r="AY153" s="39"/>
      <c r="AZ153" s="39"/>
      <c r="BA153" s="39"/>
      <c r="BB153" s="39"/>
      <c r="BC153" s="39"/>
    </row>
    <row r="154" spans="2:55" s="69" customFormat="1" x14ac:dyDescent="0.25">
      <c r="B154" s="68" t="str">
        <f ca="1">IFERROR(INDEX('Points Lookup'!$A:$A,MATCH($AA156,'Points Lookup'!$AN:$AN,0)),"")</f>
        <v/>
      </c>
      <c r="C154" s="81" t="str">
        <f ca="1">IF(B154="","",SUMIF(INDIRECT("'Points Lookup'!"&amp;VLOOKUP($B$2,Grades!A:BU,72,FALSE)&amp;":"&amp;VLOOKUP($B$2,Grades!A:BU,72,FALSE)),B154,INDIRECT("'Points Lookup'!"&amp;VLOOKUP($B$2,Grades!A:BU,73,FALSE)&amp;":"&amp;VLOOKUP($B$2,Grades!A:BU,73,FALSE))))</f>
        <v/>
      </c>
      <c r="D154" s="81"/>
      <c r="E154" s="81"/>
      <c r="F154" s="81" t="str">
        <f ca="1">IF($B154="","",IF(SUMIF(Grades!$A:$A,$B$2,Grades!$BO:$BO)=0,"-",IF(AND(VLOOKUP($B$2,Grades!$A:$BV,74,FALSE)="YES",B154&lt;Thresholds_Rates!$C$16),"-",$C154*Thresholds_Rates!$F$15)))</f>
        <v/>
      </c>
      <c r="G154" s="81" t="str">
        <f ca="1">IF(B154="","",IF($B$2="Salary Points 1 to 57","-",IF(SUMIF(Grades!$A:$A,$B$2,Grades!$BP:$BP)=0,"-",IF(AND(OR($B$2="New Consultant Contract"),$B154&lt;&gt;""),$C154*Thresholds_Rates!$F$16,IF(AND(OR($B$2="Clinical Lecturer / Medical Research Fellow",$B$2="Clinical Consultant - Old Contract (GP)"),$B154&lt;&gt;""),$C154*Thresholds_Rates!$F$16,IF(AND(OR($B$2="APM Level 7",$B$2="R&amp;T Level 7"),F154&lt;&gt;""),$C154*Thresholds_Rates!$F$16,IF(SUMIF(Grades!$A:$A,$B$2,Grades!$BP:$BP)=1,$C154*Thresholds_Rates!$F$16,"")))))))</f>
        <v/>
      </c>
      <c r="H154" s="81" t="str">
        <f ca="1">IF(B154="","",IF(SUMIF(Grades!$A:$A,$B$2,Grades!$BQ:$BQ)=0,"-",IF(AND($B$2="Salary Points 1 to 57",B154&gt;Thresholds_Rates!$C$17),"-",IF(AND($B$2="Salary Points 1 to 57",B154&lt;=Thresholds_Rates!$C$17),$C154*Thresholds_Rates!$F$17,IF(AND(OR($B$2="New Consultant Contract"),$B154&lt;&gt;""),$C154*Thresholds_Rates!$F$17,IF(AND(OR($B$2="Clinical Lecturer / Medical Research Fellow",$B$2="Clinical Consultant - Old Contract (GP)"),$B154&lt;&gt;""),$C154*Thresholds_Rates!$F$17,IF(AND(OR($B$2="APM Level 7",$B$2="R&amp;T Level 7"),G154&lt;&gt;""),$C154*Thresholds_Rates!$F$17,IF(SUMIF(Grades!$A:$A,$B$2,Grades!$BQ:$BQ)=1,$C154*Thresholds_Rates!$F$17,""))))))))</f>
        <v/>
      </c>
      <c r="I154" s="81"/>
      <c r="J154" s="81" t="str">
        <f ca="1">IF(B154="","",(C154*Thresholds_Rates!$C$12))</f>
        <v/>
      </c>
      <c r="K154" s="81"/>
      <c r="L154" s="68"/>
      <c r="M154" s="81" t="str">
        <f t="shared" ca="1" si="12"/>
        <v/>
      </c>
      <c r="N154" s="81" t="str">
        <f t="shared" ca="1" si="13"/>
        <v/>
      </c>
      <c r="O154" s="81" t="str">
        <f t="shared" ca="1" si="14"/>
        <v/>
      </c>
      <c r="P154" s="81" t="str">
        <f t="shared" ca="1" si="15"/>
        <v/>
      </c>
      <c r="Q154" s="81" t="str">
        <f t="shared" ca="1" si="16"/>
        <v/>
      </c>
      <c r="R154" s="39"/>
      <c r="S154" s="83"/>
      <c r="T154" s="84"/>
      <c r="U154" s="83"/>
      <c r="V154" s="84"/>
      <c r="Z154" s="39"/>
      <c r="AA154" s="39"/>
      <c r="AB154" s="39"/>
      <c r="AC154" s="39"/>
      <c r="AD154" s="39"/>
      <c r="AE154" s="39"/>
      <c r="AF154" s="39"/>
      <c r="AO154" s="39"/>
      <c r="AP154" s="39"/>
      <c r="AQ154" s="39"/>
      <c r="AR154" s="39"/>
      <c r="AS154" s="39"/>
      <c r="AT154" s="39"/>
      <c r="AU154" s="39"/>
      <c r="AV154" s="39"/>
      <c r="AW154" s="39"/>
      <c r="AX154" s="39"/>
      <c r="AY154" s="39"/>
      <c r="AZ154" s="39"/>
      <c r="BA154" s="39"/>
      <c r="BB154" s="39"/>
      <c r="BC154" s="39"/>
    </row>
    <row r="155" spans="2:55" s="69" customFormat="1" x14ac:dyDescent="0.25">
      <c r="B155" s="68" t="str">
        <f ca="1">IFERROR(INDEX('Points Lookup'!$A:$A,MATCH($AA157,'Points Lookup'!$AN:$AN,0)),"")</f>
        <v/>
      </c>
      <c r="C155" s="81" t="str">
        <f ca="1">IF(B155="","",SUMIF(INDIRECT("'Points Lookup'!"&amp;VLOOKUP($B$2,Grades!A:BU,72,FALSE)&amp;":"&amp;VLOOKUP($B$2,Grades!A:BU,72,FALSE)),B155,INDIRECT("'Points Lookup'!"&amp;VLOOKUP($B$2,Grades!A:BU,73,FALSE)&amp;":"&amp;VLOOKUP($B$2,Grades!A:BU,73,FALSE))))</f>
        <v/>
      </c>
      <c r="D155" s="81"/>
      <c r="E155" s="81"/>
      <c r="F155" s="81" t="str">
        <f ca="1">IF($B155="","",IF(SUMIF(Grades!$A:$A,$B$2,Grades!$BO:$BO)=0,"-",IF(AND(VLOOKUP($B$2,Grades!$A:$BV,74,FALSE)="YES",B155&lt;Thresholds_Rates!$C$16),"-",$C155*Thresholds_Rates!$F$15)))</f>
        <v/>
      </c>
      <c r="G155" s="81" t="str">
        <f ca="1">IF(B155="","",IF($B$2="Salary Points 1 to 57","-",IF(SUMIF(Grades!$A:$A,$B$2,Grades!$BP:$BP)=0,"-",IF(AND(OR($B$2="New Consultant Contract"),$B155&lt;&gt;""),$C155*Thresholds_Rates!$F$16,IF(AND(OR($B$2="Clinical Lecturer / Medical Research Fellow",$B$2="Clinical Consultant - Old Contract (GP)"),$B155&lt;&gt;""),$C155*Thresholds_Rates!$F$16,IF(AND(OR($B$2="APM Level 7",$B$2="R&amp;T Level 7"),F155&lt;&gt;""),$C155*Thresholds_Rates!$F$16,IF(SUMIF(Grades!$A:$A,$B$2,Grades!$BP:$BP)=1,$C155*Thresholds_Rates!$F$16,"")))))))</f>
        <v/>
      </c>
      <c r="H155" s="81" t="str">
        <f ca="1">IF(B155="","",IF(SUMIF(Grades!$A:$A,$B$2,Grades!$BQ:$BQ)=0,"-",IF(AND($B$2="Salary Points 1 to 57",B155&gt;Thresholds_Rates!$C$17),"-",IF(AND($B$2="Salary Points 1 to 57",B155&lt;=Thresholds_Rates!$C$17),$C155*Thresholds_Rates!$F$17,IF(AND(OR($B$2="New Consultant Contract"),$B155&lt;&gt;""),$C155*Thresholds_Rates!$F$17,IF(AND(OR($B$2="Clinical Lecturer / Medical Research Fellow",$B$2="Clinical Consultant - Old Contract (GP)"),$B155&lt;&gt;""),$C155*Thresholds_Rates!$F$17,IF(AND(OR($B$2="APM Level 7",$B$2="R&amp;T Level 7"),G155&lt;&gt;""),$C155*Thresholds_Rates!$F$17,IF(SUMIF(Grades!$A:$A,$B$2,Grades!$BQ:$BQ)=1,$C155*Thresholds_Rates!$F$17,""))))))))</f>
        <v/>
      </c>
      <c r="I155" s="81"/>
      <c r="J155" s="81" t="str">
        <f ca="1">IF(B155="","",(C155*Thresholds_Rates!$C$12))</f>
        <v/>
      </c>
      <c r="K155" s="81"/>
      <c r="L155" s="68"/>
      <c r="M155" s="81" t="str">
        <f t="shared" ca="1" si="12"/>
        <v/>
      </c>
      <c r="N155" s="81" t="str">
        <f t="shared" ca="1" si="13"/>
        <v/>
      </c>
      <c r="O155" s="81" t="str">
        <f t="shared" ca="1" si="14"/>
        <v/>
      </c>
      <c r="P155" s="81" t="str">
        <f t="shared" ca="1" si="15"/>
        <v/>
      </c>
      <c r="Q155" s="81" t="str">
        <f t="shared" ca="1" si="16"/>
        <v/>
      </c>
      <c r="R155" s="39"/>
      <c r="S155" s="83"/>
      <c r="T155" s="84"/>
      <c r="U155" s="83"/>
      <c r="V155" s="84"/>
      <c r="Z155" s="39"/>
      <c r="AA155" s="39"/>
      <c r="AB155" s="39"/>
      <c r="AC155" s="39"/>
      <c r="AD155" s="39"/>
      <c r="AE155" s="39"/>
      <c r="AF155" s="39"/>
      <c r="AO155" s="39"/>
      <c r="AP155" s="39"/>
      <c r="AQ155" s="39"/>
      <c r="AR155" s="39"/>
      <c r="AS155" s="39"/>
      <c r="AT155" s="39"/>
      <c r="AU155" s="39"/>
      <c r="AV155" s="39"/>
      <c r="AW155" s="39"/>
      <c r="AX155" s="39"/>
      <c r="AY155" s="39"/>
      <c r="AZ155" s="39"/>
      <c r="BA155" s="39"/>
      <c r="BB155" s="39"/>
      <c r="BC155" s="39"/>
    </row>
    <row r="156" spans="2:55" s="69" customFormat="1" x14ac:dyDescent="0.25">
      <c r="B156" s="68" t="str">
        <f ca="1">IFERROR(INDEX('Points Lookup'!$A:$A,MATCH($AA158,'Points Lookup'!$AN:$AN,0)),"")</f>
        <v/>
      </c>
      <c r="C156" s="81" t="str">
        <f ca="1">IF(B156="","",SUMIF(INDIRECT("'Points Lookup'!"&amp;VLOOKUP($B$2,Grades!A:BU,72,FALSE)&amp;":"&amp;VLOOKUP($B$2,Grades!A:BU,72,FALSE)),B156,INDIRECT("'Points Lookup'!"&amp;VLOOKUP($B$2,Grades!A:BU,73,FALSE)&amp;":"&amp;VLOOKUP($B$2,Grades!A:BU,73,FALSE))))</f>
        <v/>
      </c>
      <c r="D156" s="81"/>
      <c r="E156" s="81"/>
      <c r="F156" s="81" t="str">
        <f ca="1">IF($B156="","",IF(SUMIF(Grades!$A:$A,$B$2,Grades!$BO:$BO)=0,"-",IF(AND(VLOOKUP($B$2,Grades!$A:$BV,74,FALSE)="YES",B156&lt;Thresholds_Rates!$C$16),"-",$C156*Thresholds_Rates!$F$15)))</f>
        <v/>
      </c>
      <c r="G156" s="81" t="str">
        <f ca="1">IF(B156="","",IF($B$2="Salary Points 1 to 57","-",IF(SUMIF(Grades!$A:$A,$B$2,Grades!$BP:$BP)=0,"-",IF(AND(OR($B$2="New Consultant Contract"),$B156&lt;&gt;""),$C156*Thresholds_Rates!$F$16,IF(AND(OR($B$2="Clinical Lecturer / Medical Research Fellow",$B$2="Clinical Consultant - Old Contract (GP)"),$B156&lt;&gt;""),$C156*Thresholds_Rates!$F$16,IF(AND(OR($B$2="APM Level 7",$B$2="R&amp;T Level 7"),F156&lt;&gt;""),$C156*Thresholds_Rates!$F$16,IF(SUMIF(Grades!$A:$A,$B$2,Grades!$BP:$BP)=1,$C156*Thresholds_Rates!$F$16,"")))))))</f>
        <v/>
      </c>
      <c r="H156" s="81" t="str">
        <f ca="1">IF(B156="","",IF(SUMIF(Grades!$A:$A,$B$2,Grades!$BQ:$BQ)=0,"-",IF(AND($B$2="Salary Points 1 to 57",B156&gt;Thresholds_Rates!$C$17),"-",IF(AND($B$2="Salary Points 1 to 57",B156&lt;=Thresholds_Rates!$C$17),$C156*Thresholds_Rates!$F$17,IF(AND(OR($B$2="New Consultant Contract"),$B156&lt;&gt;""),$C156*Thresholds_Rates!$F$17,IF(AND(OR($B$2="Clinical Lecturer / Medical Research Fellow",$B$2="Clinical Consultant - Old Contract (GP)"),$B156&lt;&gt;""),$C156*Thresholds_Rates!$F$17,IF(AND(OR($B$2="APM Level 7",$B$2="R&amp;T Level 7"),G156&lt;&gt;""),$C156*Thresholds_Rates!$F$17,IF(SUMIF(Grades!$A:$A,$B$2,Grades!$BQ:$BQ)=1,$C156*Thresholds_Rates!$F$17,""))))))))</f>
        <v/>
      </c>
      <c r="I156" s="81"/>
      <c r="J156" s="81" t="str">
        <f ca="1">IF(B156="","",(C156*Thresholds_Rates!$C$12))</f>
        <v/>
      </c>
      <c r="K156" s="81"/>
      <c r="L156" s="68"/>
      <c r="M156" s="81" t="str">
        <f t="shared" ca="1" si="12"/>
        <v/>
      </c>
      <c r="N156" s="81" t="str">
        <f t="shared" ca="1" si="13"/>
        <v/>
      </c>
      <c r="O156" s="81" t="str">
        <f t="shared" ca="1" si="14"/>
        <v/>
      </c>
      <c r="P156" s="81" t="str">
        <f t="shared" ca="1" si="15"/>
        <v/>
      </c>
      <c r="Q156" s="81" t="str">
        <f t="shared" ca="1" si="16"/>
        <v/>
      </c>
      <c r="R156" s="39"/>
      <c r="S156" s="83"/>
      <c r="T156" s="84"/>
      <c r="U156" s="83"/>
      <c r="V156" s="84"/>
      <c r="Z156" s="39"/>
      <c r="AA156" s="39"/>
      <c r="AB156" s="39"/>
      <c r="AC156" s="39"/>
      <c r="AD156" s="39"/>
      <c r="AE156" s="39"/>
      <c r="AF156" s="39"/>
      <c r="AO156" s="39"/>
      <c r="AP156" s="39"/>
      <c r="AQ156" s="39"/>
      <c r="AR156" s="39"/>
      <c r="AS156" s="39"/>
      <c r="AT156" s="39"/>
      <c r="AU156" s="39"/>
      <c r="AV156" s="39"/>
      <c r="AW156" s="39"/>
      <c r="AX156" s="39"/>
      <c r="AY156" s="39"/>
      <c r="AZ156" s="39"/>
      <c r="BA156" s="39"/>
      <c r="BB156" s="39"/>
      <c r="BC156" s="39"/>
    </row>
    <row r="157" spans="2:55" s="69" customFormat="1" x14ac:dyDescent="0.25">
      <c r="B157" s="68" t="str">
        <f ca="1">IFERROR(INDEX('Points Lookup'!$A:$A,MATCH($AA159,'Points Lookup'!$AN:$AN,0)),"")</f>
        <v/>
      </c>
      <c r="C157" s="81" t="str">
        <f ca="1">IF(B157="","",SUMIF(INDIRECT("'Points Lookup'!"&amp;VLOOKUP($B$2,Grades!A:BU,72,FALSE)&amp;":"&amp;VLOOKUP($B$2,Grades!A:BU,72,FALSE)),B157,INDIRECT("'Points Lookup'!"&amp;VLOOKUP($B$2,Grades!A:BU,73,FALSE)&amp;":"&amp;VLOOKUP($B$2,Grades!A:BU,73,FALSE))))</f>
        <v/>
      </c>
      <c r="D157" s="81"/>
      <c r="E157" s="81"/>
      <c r="F157" s="81" t="str">
        <f ca="1">IF($B157="","",IF(SUMIF(Grades!$A:$A,$B$2,Grades!$BO:$BO)=0,"-",IF(AND(VLOOKUP($B$2,Grades!$A:$BV,74,FALSE)="YES",B157&lt;Thresholds_Rates!$C$16),"-",$C157*Thresholds_Rates!$F$15)))</f>
        <v/>
      </c>
      <c r="G157" s="81" t="str">
        <f ca="1">IF(B157="","",IF($B$2="Salary Points 1 to 57","-",IF(SUMIF(Grades!$A:$A,$B$2,Grades!$BP:$BP)=0,"-",IF(AND(OR($B$2="New Consultant Contract"),$B157&lt;&gt;""),$C157*Thresholds_Rates!$F$16,IF(AND(OR($B$2="Clinical Lecturer / Medical Research Fellow",$B$2="Clinical Consultant - Old Contract (GP)"),$B157&lt;&gt;""),$C157*Thresholds_Rates!$F$16,IF(AND(OR($B$2="APM Level 7",$B$2="R&amp;T Level 7"),F157&lt;&gt;""),$C157*Thresholds_Rates!$F$16,IF(SUMIF(Grades!$A:$A,$B$2,Grades!$BP:$BP)=1,$C157*Thresholds_Rates!$F$16,"")))))))</f>
        <v/>
      </c>
      <c r="H157" s="81" t="str">
        <f ca="1">IF(B157="","",IF(SUMIF(Grades!$A:$A,$B$2,Grades!$BQ:$BQ)=0,"-",IF(AND($B$2="Salary Points 1 to 57",B157&gt;Thresholds_Rates!$C$17),"-",IF(AND($B$2="Salary Points 1 to 57",B157&lt;=Thresholds_Rates!$C$17),$C157*Thresholds_Rates!$F$17,IF(AND(OR($B$2="New Consultant Contract"),$B157&lt;&gt;""),$C157*Thresholds_Rates!$F$17,IF(AND(OR($B$2="Clinical Lecturer / Medical Research Fellow",$B$2="Clinical Consultant - Old Contract (GP)"),$B157&lt;&gt;""),$C157*Thresholds_Rates!$F$17,IF(AND(OR($B$2="APM Level 7",$B$2="R&amp;T Level 7"),G157&lt;&gt;""),$C157*Thresholds_Rates!$F$17,IF(SUMIF(Grades!$A:$A,$B$2,Grades!$BQ:$BQ)=1,$C157*Thresholds_Rates!$F$17,""))))))))</f>
        <v/>
      </c>
      <c r="I157" s="81"/>
      <c r="J157" s="81" t="str">
        <f ca="1">IF(B157="","",(C157*Thresholds_Rates!$C$12))</f>
        <v/>
      </c>
      <c r="K157" s="81"/>
      <c r="L157" s="68"/>
      <c r="M157" s="81" t="str">
        <f t="shared" ca="1" si="12"/>
        <v/>
      </c>
      <c r="N157" s="81" t="str">
        <f t="shared" ca="1" si="13"/>
        <v/>
      </c>
      <c r="O157" s="81" t="str">
        <f t="shared" ca="1" si="14"/>
        <v/>
      </c>
      <c r="P157" s="81" t="str">
        <f t="shared" ca="1" si="15"/>
        <v/>
      </c>
      <c r="Q157" s="81" t="str">
        <f t="shared" ca="1" si="16"/>
        <v/>
      </c>
      <c r="R157" s="39"/>
      <c r="S157" s="83"/>
      <c r="T157" s="84"/>
      <c r="U157" s="83"/>
      <c r="V157" s="84"/>
      <c r="Z157" s="39"/>
      <c r="AA157" s="39"/>
      <c r="AB157" s="39"/>
      <c r="AC157" s="39"/>
      <c r="AD157" s="39"/>
      <c r="AE157" s="39"/>
      <c r="AF157" s="39"/>
      <c r="AO157" s="39"/>
      <c r="AP157" s="39"/>
      <c r="AQ157" s="39"/>
      <c r="AR157" s="39"/>
      <c r="AS157" s="39"/>
      <c r="AT157" s="39"/>
      <c r="AU157" s="39"/>
      <c r="AV157" s="39"/>
      <c r="AW157" s="39"/>
      <c r="AX157" s="39"/>
      <c r="AY157" s="39"/>
      <c r="AZ157" s="39"/>
      <c r="BA157" s="39"/>
      <c r="BB157" s="39"/>
      <c r="BC157" s="39"/>
    </row>
    <row r="158" spans="2:55" s="69" customFormat="1" x14ac:dyDescent="0.25">
      <c r="B158" s="68" t="str">
        <f ca="1">IFERROR(INDEX('Points Lookup'!$A:$A,MATCH($AA160,'Points Lookup'!$AN:$AN,0)),"")</f>
        <v/>
      </c>
      <c r="C158" s="81" t="str">
        <f ca="1">IF(B158="","",SUMIF(INDIRECT("'Points Lookup'!"&amp;VLOOKUP($B$2,Grades!A:BU,72,FALSE)&amp;":"&amp;VLOOKUP($B$2,Grades!A:BU,72,FALSE)),B158,INDIRECT("'Points Lookup'!"&amp;VLOOKUP($B$2,Grades!A:BU,73,FALSE)&amp;":"&amp;VLOOKUP($B$2,Grades!A:BU,73,FALSE))))</f>
        <v/>
      </c>
      <c r="D158" s="81"/>
      <c r="E158" s="81"/>
      <c r="F158" s="81" t="str">
        <f ca="1">IF($B158="","",IF(SUMIF(Grades!$A:$A,$B$2,Grades!$BO:$BO)=0,"-",IF(AND(VLOOKUP($B$2,Grades!$A:$BV,74,FALSE)="YES",B158&lt;Thresholds_Rates!$C$16),"-",$C158*Thresholds_Rates!$F$15)))</f>
        <v/>
      </c>
      <c r="G158" s="81" t="str">
        <f ca="1">IF(B158="","",IF($B$2="Salary Points 1 to 57","-",IF(SUMIF(Grades!$A:$A,$B$2,Grades!$BP:$BP)=0,"-",IF(AND(OR($B$2="New Consultant Contract"),$B158&lt;&gt;""),$C158*Thresholds_Rates!$F$16,IF(AND(OR($B$2="Clinical Lecturer / Medical Research Fellow",$B$2="Clinical Consultant - Old Contract (GP)"),$B158&lt;&gt;""),$C158*Thresholds_Rates!$F$16,IF(AND(OR($B$2="APM Level 7",$B$2="R&amp;T Level 7"),F158&lt;&gt;""),$C158*Thresholds_Rates!$F$16,IF(SUMIF(Grades!$A:$A,$B$2,Grades!$BP:$BP)=1,$C158*Thresholds_Rates!$F$16,"")))))))</f>
        <v/>
      </c>
      <c r="H158" s="81" t="str">
        <f ca="1">IF(B158="","",IF(SUMIF(Grades!$A:$A,$B$2,Grades!$BQ:$BQ)=0,"-",IF(AND($B$2="Salary Points 1 to 57",B158&gt;Thresholds_Rates!$C$17),"-",IF(AND($B$2="Salary Points 1 to 57",B158&lt;=Thresholds_Rates!$C$17),$C158*Thresholds_Rates!$F$17,IF(AND(OR($B$2="New Consultant Contract"),$B158&lt;&gt;""),$C158*Thresholds_Rates!$F$17,IF(AND(OR($B$2="Clinical Lecturer / Medical Research Fellow",$B$2="Clinical Consultant - Old Contract (GP)"),$B158&lt;&gt;""),$C158*Thresholds_Rates!$F$17,IF(AND(OR($B$2="APM Level 7",$B$2="R&amp;T Level 7"),G158&lt;&gt;""),$C158*Thresholds_Rates!$F$17,IF(SUMIF(Grades!$A:$A,$B$2,Grades!$BQ:$BQ)=1,$C158*Thresholds_Rates!$F$17,""))))))))</f>
        <v/>
      </c>
      <c r="I158" s="81"/>
      <c r="J158" s="81" t="str">
        <f ca="1">IF(B158="","",(C158*Thresholds_Rates!$C$12))</f>
        <v/>
      </c>
      <c r="K158" s="81"/>
      <c r="L158" s="68"/>
      <c r="M158" s="81" t="str">
        <f t="shared" ca="1" si="12"/>
        <v/>
      </c>
      <c r="N158" s="81" t="str">
        <f t="shared" ca="1" si="13"/>
        <v/>
      </c>
      <c r="O158" s="81" t="str">
        <f t="shared" ca="1" si="14"/>
        <v/>
      </c>
      <c r="P158" s="81" t="str">
        <f t="shared" ca="1" si="15"/>
        <v/>
      </c>
      <c r="Q158" s="81" t="str">
        <f t="shared" ca="1" si="16"/>
        <v/>
      </c>
      <c r="R158" s="39"/>
      <c r="S158" s="83"/>
      <c r="T158" s="84"/>
      <c r="U158" s="83"/>
      <c r="V158" s="84"/>
      <c r="Z158" s="39"/>
      <c r="AA158" s="39"/>
      <c r="AB158" s="39"/>
      <c r="AC158" s="39"/>
      <c r="AD158" s="39"/>
      <c r="AE158" s="39"/>
      <c r="AF158" s="39"/>
      <c r="AO158" s="39"/>
      <c r="AP158" s="39"/>
      <c r="AQ158" s="39"/>
      <c r="AR158" s="39"/>
      <c r="AS158" s="39"/>
      <c r="AT158" s="39"/>
      <c r="AU158" s="39"/>
      <c r="AV158" s="39"/>
      <c r="AW158" s="39"/>
      <c r="AX158" s="39"/>
      <c r="AY158" s="39"/>
      <c r="AZ158" s="39"/>
      <c r="BA158" s="39"/>
      <c r="BB158" s="39"/>
      <c r="BC158" s="39"/>
    </row>
    <row r="159" spans="2:55" s="69" customFormat="1" x14ac:dyDescent="0.25">
      <c r="B159" s="68" t="str">
        <f ca="1">IFERROR(INDEX('Points Lookup'!$A:$A,MATCH($AA161,'Points Lookup'!$AN:$AN,0)),"")</f>
        <v/>
      </c>
      <c r="C159" s="81" t="str">
        <f ca="1">IF(B159="","",SUMIF(INDIRECT("'Points Lookup'!"&amp;VLOOKUP($B$2,Grades!A:BU,72,FALSE)&amp;":"&amp;VLOOKUP($B$2,Grades!A:BU,72,FALSE)),B159,INDIRECT("'Points Lookup'!"&amp;VLOOKUP($B$2,Grades!A:BU,73,FALSE)&amp;":"&amp;VLOOKUP($B$2,Grades!A:BU,73,FALSE))))</f>
        <v/>
      </c>
      <c r="D159" s="81"/>
      <c r="E159" s="81"/>
      <c r="F159" s="81" t="str">
        <f ca="1">IF($B159="","",IF(SUMIF(Grades!$A:$A,$B$2,Grades!$BO:$BO)=0,"-",IF(AND(VLOOKUP($B$2,Grades!$A:$BV,74,FALSE)="YES",B159&lt;Thresholds_Rates!$C$16),"-",$C159*Thresholds_Rates!$F$15)))</f>
        <v/>
      </c>
      <c r="G159" s="81" t="str">
        <f ca="1">IF(B159="","",IF($B$2="Salary Points 1 to 57","-",IF(SUMIF(Grades!$A:$A,$B$2,Grades!$BP:$BP)=0,"-",IF(AND(OR($B$2="New Consultant Contract"),$B159&lt;&gt;""),$C159*Thresholds_Rates!$F$16,IF(AND(OR($B$2="Clinical Lecturer / Medical Research Fellow",$B$2="Clinical Consultant - Old Contract (GP)"),$B159&lt;&gt;""),$C159*Thresholds_Rates!$F$16,IF(AND(OR($B$2="APM Level 7",$B$2="R&amp;T Level 7"),F159&lt;&gt;""),$C159*Thresholds_Rates!$F$16,IF(SUMIF(Grades!$A:$A,$B$2,Grades!$BP:$BP)=1,$C159*Thresholds_Rates!$F$16,"")))))))</f>
        <v/>
      </c>
      <c r="H159" s="81" t="str">
        <f ca="1">IF(B159="","",IF(SUMIF(Grades!$A:$A,$B$2,Grades!$BQ:$BQ)=0,"-",IF(AND($B$2="Salary Points 1 to 57",B159&gt;Thresholds_Rates!$C$17),"-",IF(AND($B$2="Salary Points 1 to 57",B159&lt;=Thresholds_Rates!$C$17),$C159*Thresholds_Rates!$F$17,IF(AND(OR($B$2="New Consultant Contract"),$B159&lt;&gt;""),$C159*Thresholds_Rates!$F$17,IF(AND(OR($B$2="Clinical Lecturer / Medical Research Fellow",$B$2="Clinical Consultant - Old Contract (GP)"),$B159&lt;&gt;""),$C159*Thresholds_Rates!$F$17,IF(AND(OR($B$2="APM Level 7",$B$2="R&amp;T Level 7"),G159&lt;&gt;""),$C159*Thresholds_Rates!$F$17,IF(SUMIF(Grades!$A:$A,$B$2,Grades!$BQ:$BQ)=1,$C159*Thresholds_Rates!$F$17,""))))))))</f>
        <v/>
      </c>
      <c r="I159" s="81"/>
      <c r="J159" s="81" t="str">
        <f ca="1">IF(B159="","",(C159*Thresholds_Rates!$C$12))</f>
        <v/>
      </c>
      <c r="K159" s="81"/>
      <c r="L159" s="68"/>
      <c r="M159" s="81" t="str">
        <f t="shared" ca="1" si="12"/>
        <v/>
      </c>
      <c r="N159" s="81" t="str">
        <f t="shared" ca="1" si="13"/>
        <v/>
      </c>
      <c r="O159" s="81" t="str">
        <f t="shared" ca="1" si="14"/>
        <v/>
      </c>
      <c r="P159" s="81" t="str">
        <f t="shared" ca="1" si="15"/>
        <v/>
      </c>
      <c r="Q159" s="81" t="str">
        <f t="shared" ca="1" si="16"/>
        <v/>
      </c>
      <c r="R159" s="39"/>
      <c r="S159" s="83"/>
      <c r="T159" s="84"/>
      <c r="U159" s="83"/>
      <c r="V159" s="84"/>
      <c r="Z159" s="39"/>
      <c r="AA159" s="39"/>
      <c r="AB159" s="39"/>
      <c r="AC159" s="39"/>
      <c r="AD159" s="39"/>
      <c r="AE159" s="39"/>
      <c r="AF159" s="39"/>
      <c r="AO159" s="39"/>
      <c r="AP159" s="39"/>
      <c r="AQ159" s="39"/>
      <c r="AR159" s="39"/>
      <c r="AS159" s="39"/>
      <c r="AT159" s="39"/>
      <c r="AU159" s="39"/>
      <c r="AV159" s="39"/>
      <c r="AW159" s="39"/>
      <c r="AX159" s="39"/>
      <c r="AY159" s="39"/>
      <c r="AZ159" s="39"/>
      <c r="BA159" s="39"/>
      <c r="BB159" s="39"/>
      <c r="BC159" s="39"/>
    </row>
    <row r="160" spans="2:55" s="69" customFormat="1" x14ac:dyDescent="0.25">
      <c r="B160" s="68" t="str">
        <f ca="1">IFERROR(INDEX('Points Lookup'!$A:$A,MATCH($AA162,'Points Lookup'!$AN:$AN,0)),"")</f>
        <v/>
      </c>
      <c r="C160" s="81" t="str">
        <f ca="1">IF(B160="","",SUMIF(INDIRECT("'Points Lookup'!"&amp;VLOOKUP($B$2,Grades!A:BU,72,FALSE)&amp;":"&amp;VLOOKUP($B$2,Grades!A:BU,72,FALSE)),B160,INDIRECT("'Points Lookup'!"&amp;VLOOKUP($B$2,Grades!A:BU,73,FALSE)&amp;":"&amp;VLOOKUP($B$2,Grades!A:BU,73,FALSE))))</f>
        <v/>
      </c>
      <c r="D160" s="81"/>
      <c r="E160" s="81"/>
      <c r="F160" s="81" t="str">
        <f ca="1">IF($B160="","",IF(SUMIF(Grades!$A:$A,$B$2,Grades!$BO:$BO)=0,"-",IF(AND(VLOOKUP($B$2,Grades!$A:$BV,74,FALSE)="YES",B160&lt;Thresholds_Rates!$C$16),"-",$C160*Thresholds_Rates!$F$15)))</f>
        <v/>
      </c>
      <c r="G160" s="81" t="str">
        <f ca="1">IF(B160="","",IF($B$2="Salary Points 1 to 57","-",IF(SUMIF(Grades!$A:$A,$B$2,Grades!$BP:$BP)=0,"-",IF(AND(OR($B$2="New Consultant Contract"),$B160&lt;&gt;""),$C160*Thresholds_Rates!$F$16,IF(AND(OR($B$2="Clinical Lecturer / Medical Research Fellow",$B$2="Clinical Consultant - Old Contract (GP)"),$B160&lt;&gt;""),$C160*Thresholds_Rates!$F$16,IF(AND(OR($B$2="APM Level 7",$B$2="R&amp;T Level 7"),F160&lt;&gt;""),$C160*Thresholds_Rates!$F$16,IF(SUMIF(Grades!$A:$A,$B$2,Grades!$BP:$BP)=1,$C160*Thresholds_Rates!$F$16,"")))))))</f>
        <v/>
      </c>
      <c r="H160" s="81" t="str">
        <f ca="1">IF(B160="","",IF(SUMIF(Grades!$A:$A,$B$2,Grades!$BQ:$BQ)=0,"-",IF(AND($B$2="Salary Points 1 to 57",B160&gt;Thresholds_Rates!$C$17),"-",IF(AND($B$2="Salary Points 1 to 57",B160&lt;=Thresholds_Rates!$C$17),$C160*Thresholds_Rates!$F$17,IF(AND(OR($B$2="New Consultant Contract"),$B160&lt;&gt;""),$C160*Thresholds_Rates!$F$17,IF(AND(OR($B$2="Clinical Lecturer / Medical Research Fellow",$B$2="Clinical Consultant - Old Contract (GP)"),$B160&lt;&gt;""),$C160*Thresholds_Rates!$F$17,IF(AND(OR($B$2="APM Level 7",$B$2="R&amp;T Level 7"),G160&lt;&gt;""),$C160*Thresholds_Rates!$F$17,IF(SUMIF(Grades!$A:$A,$B$2,Grades!$BQ:$BQ)=1,$C160*Thresholds_Rates!$F$17,""))))))))</f>
        <v/>
      </c>
      <c r="I160" s="81"/>
      <c r="J160" s="81" t="str">
        <f ca="1">IF(B160="","",(C160*Thresholds_Rates!$C$12))</f>
        <v/>
      </c>
      <c r="K160" s="81"/>
      <c r="L160" s="68"/>
      <c r="M160" s="81" t="str">
        <f t="shared" ca="1" si="12"/>
        <v/>
      </c>
      <c r="N160" s="81" t="str">
        <f t="shared" ca="1" si="13"/>
        <v/>
      </c>
      <c r="O160" s="81" t="str">
        <f t="shared" ca="1" si="14"/>
        <v/>
      </c>
      <c r="P160" s="81" t="str">
        <f t="shared" ca="1" si="15"/>
        <v/>
      </c>
      <c r="Q160" s="81" t="str">
        <f t="shared" ca="1" si="16"/>
        <v/>
      </c>
      <c r="R160" s="39"/>
      <c r="S160" s="83"/>
      <c r="T160" s="84"/>
      <c r="U160" s="83"/>
      <c r="V160" s="84"/>
      <c r="Z160" s="39"/>
      <c r="AA160" s="39"/>
      <c r="AB160" s="39"/>
      <c r="AC160" s="39"/>
      <c r="AD160" s="39"/>
      <c r="AE160" s="39"/>
      <c r="AF160" s="39"/>
      <c r="AO160" s="39"/>
      <c r="AP160" s="39"/>
      <c r="AQ160" s="39"/>
      <c r="AR160" s="39"/>
      <c r="AS160" s="39"/>
      <c r="AT160" s="39"/>
      <c r="AU160" s="39"/>
      <c r="AV160" s="39"/>
      <c r="AW160" s="39"/>
      <c r="AX160" s="39"/>
      <c r="AY160" s="39"/>
      <c r="AZ160" s="39"/>
      <c r="BA160" s="39"/>
      <c r="BB160" s="39"/>
      <c r="BC160" s="39"/>
    </row>
    <row r="161" spans="2:55" s="69" customFormat="1" x14ac:dyDescent="0.25">
      <c r="B161" s="68" t="str">
        <f ca="1">IFERROR(INDEX('Points Lookup'!$A:$A,MATCH($AA163,'Points Lookup'!$AN:$AN,0)),"")</f>
        <v/>
      </c>
      <c r="C161" s="81" t="str">
        <f ca="1">IF(B161="","",SUMIF(INDIRECT("'Points Lookup'!"&amp;VLOOKUP($B$2,Grades!A:BU,72,FALSE)&amp;":"&amp;VLOOKUP($B$2,Grades!A:BU,72,FALSE)),B161,INDIRECT("'Points Lookup'!"&amp;VLOOKUP($B$2,Grades!A:BU,73,FALSE)&amp;":"&amp;VLOOKUP($B$2,Grades!A:BU,73,FALSE))))</f>
        <v/>
      </c>
      <c r="D161" s="81"/>
      <c r="E161" s="81"/>
      <c r="F161" s="81" t="str">
        <f ca="1">IF($B161="","",IF(SUMIF(Grades!$A:$A,$B$2,Grades!$BO:$BO)=0,"-",IF(AND(VLOOKUP($B$2,Grades!$A:$BV,74,FALSE)="YES",B161&lt;Thresholds_Rates!$C$16),"-",$C161*Thresholds_Rates!$F$15)))</f>
        <v/>
      </c>
      <c r="G161" s="81" t="str">
        <f ca="1">IF(B161="","",IF($B$2="Salary Points 1 to 57","-",IF(SUMIF(Grades!$A:$A,$B$2,Grades!$BP:$BP)=0,"-",IF(AND(OR($B$2="New Consultant Contract"),$B161&lt;&gt;""),$C161*Thresholds_Rates!$F$16,IF(AND(OR($B$2="Clinical Lecturer / Medical Research Fellow",$B$2="Clinical Consultant - Old Contract (GP)"),$B161&lt;&gt;""),$C161*Thresholds_Rates!$F$16,IF(AND(OR($B$2="APM Level 7",$B$2="R&amp;T Level 7"),F161&lt;&gt;""),$C161*Thresholds_Rates!$F$16,IF(SUMIF(Grades!$A:$A,$B$2,Grades!$BP:$BP)=1,$C161*Thresholds_Rates!$F$16,"")))))))</f>
        <v/>
      </c>
      <c r="H161" s="81" t="str">
        <f ca="1">IF(B161="","",IF(SUMIF(Grades!$A:$A,$B$2,Grades!$BQ:$BQ)=0,"-",IF(AND($B$2="Salary Points 1 to 57",B161&gt;Thresholds_Rates!$C$17),"-",IF(AND($B$2="Salary Points 1 to 57",B161&lt;=Thresholds_Rates!$C$17),$C161*Thresholds_Rates!$F$17,IF(AND(OR($B$2="New Consultant Contract"),$B161&lt;&gt;""),$C161*Thresholds_Rates!$F$17,IF(AND(OR($B$2="Clinical Lecturer / Medical Research Fellow",$B$2="Clinical Consultant - Old Contract (GP)"),$B161&lt;&gt;""),$C161*Thresholds_Rates!$F$17,IF(AND(OR($B$2="APM Level 7",$B$2="R&amp;T Level 7"),G161&lt;&gt;""),$C161*Thresholds_Rates!$F$17,IF(SUMIF(Grades!$A:$A,$B$2,Grades!$BQ:$BQ)=1,$C161*Thresholds_Rates!$F$17,""))))))))</f>
        <v/>
      </c>
      <c r="I161" s="81"/>
      <c r="J161" s="81" t="str">
        <f ca="1">IF(B161="","",(C161*Thresholds_Rates!$C$12))</f>
        <v/>
      </c>
      <c r="K161" s="81"/>
      <c r="L161" s="68"/>
      <c r="M161" s="81" t="str">
        <f t="shared" ca="1" si="12"/>
        <v/>
      </c>
      <c r="N161" s="81" t="str">
        <f t="shared" ca="1" si="13"/>
        <v/>
      </c>
      <c r="O161" s="81" t="str">
        <f t="shared" ca="1" si="14"/>
        <v/>
      </c>
      <c r="P161" s="81" t="str">
        <f t="shared" ca="1" si="15"/>
        <v/>
      </c>
      <c r="Q161" s="81" t="str">
        <f t="shared" ca="1" si="16"/>
        <v/>
      </c>
      <c r="R161" s="39"/>
      <c r="S161" s="83"/>
      <c r="T161" s="84"/>
      <c r="U161" s="83"/>
      <c r="V161" s="84"/>
      <c r="Z161" s="39"/>
      <c r="AA161" s="39"/>
      <c r="AB161" s="39"/>
      <c r="AC161" s="39"/>
      <c r="AD161" s="39"/>
      <c r="AE161" s="39"/>
      <c r="AF161" s="39"/>
      <c r="AO161" s="39"/>
      <c r="AP161" s="39"/>
      <c r="AQ161" s="39"/>
      <c r="AR161" s="39"/>
      <c r="AS161" s="39"/>
      <c r="AT161" s="39"/>
      <c r="AU161" s="39"/>
      <c r="AV161" s="39"/>
      <c r="AW161" s="39"/>
      <c r="AX161" s="39"/>
      <c r="AY161" s="39"/>
      <c r="AZ161" s="39"/>
      <c r="BA161" s="39"/>
      <c r="BB161" s="39"/>
      <c r="BC161" s="39"/>
    </row>
    <row r="162" spans="2:55" s="69" customFormat="1" x14ac:dyDescent="0.25">
      <c r="B162" s="68" t="str">
        <f ca="1">IFERROR(INDEX('Points Lookup'!$A:$A,MATCH($AA164,'Points Lookup'!$AN:$AN,0)),"")</f>
        <v/>
      </c>
      <c r="C162" s="81" t="str">
        <f ca="1">IF(B162="","",SUMIF(INDIRECT("'Points Lookup'!"&amp;VLOOKUP($B$2,Grades!A:BU,72,FALSE)&amp;":"&amp;VLOOKUP($B$2,Grades!A:BU,72,FALSE)),B162,INDIRECT("'Points Lookup'!"&amp;VLOOKUP($B$2,Grades!A:BU,73,FALSE)&amp;":"&amp;VLOOKUP($B$2,Grades!A:BU,73,FALSE))))</f>
        <v/>
      </c>
      <c r="D162" s="81"/>
      <c r="E162" s="81"/>
      <c r="F162" s="81" t="str">
        <f ca="1">IF($B162="","",IF(SUMIF(Grades!$A:$A,$B$2,Grades!$BO:$BO)=0,"-",IF(AND(VLOOKUP($B$2,Grades!$A:$BV,74,FALSE)="YES",B162&lt;Thresholds_Rates!$C$16),"-",$C162*Thresholds_Rates!$F$15)))</f>
        <v/>
      </c>
      <c r="G162" s="81" t="str">
        <f ca="1">IF(B162="","",IF($B$2="Salary Points 1 to 57","-",IF(SUMIF(Grades!$A:$A,$B$2,Grades!$BP:$BP)=0,"-",IF(AND(OR($B$2="New Consultant Contract"),$B162&lt;&gt;""),$C162*Thresholds_Rates!$F$16,IF(AND(OR($B$2="Clinical Lecturer / Medical Research Fellow",$B$2="Clinical Consultant - Old Contract (GP)"),$B162&lt;&gt;""),$C162*Thresholds_Rates!$F$16,IF(AND(OR($B$2="APM Level 7",$B$2="R&amp;T Level 7"),F162&lt;&gt;""),$C162*Thresholds_Rates!$F$16,IF(SUMIF(Grades!$A:$A,$B$2,Grades!$BP:$BP)=1,$C162*Thresholds_Rates!$F$16,"")))))))</f>
        <v/>
      </c>
      <c r="H162" s="81" t="str">
        <f ca="1">IF(B162="","",IF(SUMIF(Grades!$A:$A,$B$2,Grades!$BQ:$BQ)=0,"-",IF(AND($B$2="Salary Points 1 to 57",B162&gt;Thresholds_Rates!$C$17),"-",IF(AND($B$2="Salary Points 1 to 57",B162&lt;=Thresholds_Rates!$C$17),$C162*Thresholds_Rates!$F$17,IF(AND(OR($B$2="New Consultant Contract"),$B162&lt;&gt;""),$C162*Thresholds_Rates!$F$17,IF(AND(OR($B$2="Clinical Lecturer / Medical Research Fellow",$B$2="Clinical Consultant - Old Contract (GP)"),$B162&lt;&gt;""),$C162*Thresholds_Rates!$F$17,IF(AND(OR($B$2="APM Level 7",$B$2="R&amp;T Level 7"),G162&lt;&gt;""),$C162*Thresholds_Rates!$F$17,IF(SUMIF(Grades!$A:$A,$B$2,Grades!$BQ:$BQ)=1,$C162*Thresholds_Rates!$F$17,""))))))))</f>
        <v/>
      </c>
      <c r="I162" s="81"/>
      <c r="J162" s="81" t="str">
        <f ca="1">IF(B162="","",(C162*Thresholds_Rates!$C$12))</f>
        <v/>
      </c>
      <c r="K162" s="81"/>
      <c r="L162" s="68"/>
      <c r="M162" s="81" t="str">
        <f t="shared" ca="1" si="12"/>
        <v/>
      </c>
      <c r="N162" s="81" t="str">
        <f t="shared" ca="1" si="13"/>
        <v/>
      </c>
      <c r="O162" s="81" t="str">
        <f t="shared" ca="1" si="14"/>
        <v/>
      </c>
      <c r="P162" s="81" t="str">
        <f t="shared" ca="1" si="15"/>
        <v/>
      </c>
      <c r="Q162" s="81" t="str">
        <f t="shared" ca="1" si="16"/>
        <v/>
      </c>
      <c r="R162" s="39"/>
      <c r="S162" s="83"/>
      <c r="T162" s="84"/>
      <c r="U162" s="83"/>
      <c r="V162" s="84"/>
      <c r="Z162" s="39"/>
      <c r="AA162" s="39"/>
      <c r="AB162" s="39"/>
      <c r="AC162" s="39"/>
      <c r="AD162" s="39"/>
      <c r="AE162" s="39"/>
      <c r="AF162" s="39"/>
      <c r="AO162" s="39"/>
      <c r="AP162" s="39"/>
      <c r="AQ162" s="39"/>
      <c r="AR162" s="39"/>
      <c r="AS162" s="39"/>
      <c r="AT162" s="39"/>
      <c r="AU162" s="39"/>
      <c r="AV162" s="39"/>
      <c r="AW162" s="39"/>
      <c r="AX162" s="39"/>
      <c r="AY162" s="39"/>
      <c r="AZ162" s="39"/>
      <c r="BA162" s="39"/>
      <c r="BB162" s="39"/>
      <c r="BC162" s="39"/>
    </row>
    <row r="163" spans="2:55" s="69" customFormat="1" x14ac:dyDescent="0.25">
      <c r="B163" s="68" t="str">
        <f ca="1">IFERROR(INDEX('Points Lookup'!$A:$A,MATCH($AA165,'Points Lookup'!$AN:$AN,0)),"")</f>
        <v/>
      </c>
      <c r="C163" s="81" t="str">
        <f ca="1">IF(B163="","",SUMIF(INDIRECT("'Points Lookup'!"&amp;VLOOKUP($B$2,Grades!A:BU,72,FALSE)&amp;":"&amp;VLOOKUP($B$2,Grades!A:BU,72,FALSE)),B163,INDIRECT("'Points Lookup'!"&amp;VLOOKUP($B$2,Grades!A:BU,73,FALSE)&amp;":"&amp;VLOOKUP($B$2,Grades!A:BU,73,FALSE))))</f>
        <v/>
      </c>
      <c r="D163" s="81"/>
      <c r="E163" s="81"/>
      <c r="F163" s="81" t="str">
        <f ca="1">IF($B163="","",IF(SUMIF(Grades!$A:$A,$B$2,Grades!$BO:$BO)=0,"-",IF(AND(VLOOKUP($B$2,Grades!$A:$BV,74,FALSE)="YES",B163&lt;Thresholds_Rates!$C$16),"-",$C163*Thresholds_Rates!$F$15)))</f>
        <v/>
      </c>
      <c r="G163" s="81" t="str">
        <f ca="1">IF(B163="","",IF($B$2="Salary Points 1 to 57","-",IF(SUMIF(Grades!$A:$A,$B$2,Grades!$BP:$BP)=0,"-",IF(AND(OR($B$2="New Consultant Contract"),$B163&lt;&gt;""),$C163*Thresholds_Rates!$F$16,IF(AND(OR($B$2="Clinical Lecturer / Medical Research Fellow",$B$2="Clinical Consultant - Old Contract (GP)"),$B163&lt;&gt;""),$C163*Thresholds_Rates!$F$16,IF(AND(OR($B$2="APM Level 7",$B$2="R&amp;T Level 7"),F163&lt;&gt;""),$C163*Thresholds_Rates!$F$16,IF(SUMIF(Grades!$A:$A,$B$2,Grades!$BP:$BP)=1,$C163*Thresholds_Rates!$F$16,"")))))))</f>
        <v/>
      </c>
      <c r="H163" s="81" t="str">
        <f ca="1">IF(B163="","",IF(SUMIF(Grades!$A:$A,$B$2,Grades!$BQ:$BQ)=0,"-",IF(AND($B$2="Salary Points 1 to 57",B163&gt;Thresholds_Rates!$C$17),"-",IF(AND($B$2="Salary Points 1 to 57",B163&lt;=Thresholds_Rates!$C$17),$C163*Thresholds_Rates!$F$17,IF(AND(OR($B$2="New Consultant Contract"),$B163&lt;&gt;""),$C163*Thresholds_Rates!$F$17,IF(AND(OR($B$2="Clinical Lecturer / Medical Research Fellow",$B$2="Clinical Consultant - Old Contract (GP)"),$B163&lt;&gt;""),$C163*Thresholds_Rates!$F$17,IF(AND(OR($B$2="APM Level 7",$B$2="R&amp;T Level 7"),G163&lt;&gt;""),$C163*Thresholds_Rates!$F$17,IF(SUMIF(Grades!$A:$A,$B$2,Grades!$BQ:$BQ)=1,$C163*Thresholds_Rates!$F$17,""))))))))</f>
        <v/>
      </c>
      <c r="I163" s="81"/>
      <c r="J163" s="81" t="str">
        <f ca="1">IF(B163="","",(C163*Thresholds_Rates!$C$12))</f>
        <v/>
      </c>
      <c r="K163" s="81"/>
      <c r="L163" s="68"/>
      <c r="M163" s="81" t="str">
        <f t="shared" ca="1" si="12"/>
        <v/>
      </c>
      <c r="N163" s="81" t="str">
        <f t="shared" ca="1" si="13"/>
        <v/>
      </c>
      <c r="O163" s="81" t="str">
        <f t="shared" ca="1" si="14"/>
        <v/>
      </c>
      <c r="P163" s="81" t="str">
        <f t="shared" ca="1" si="15"/>
        <v/>
      </c>
      <c r="Q163" s="81" t="str">
        <f t="shared" ca="1" si="16"/>
        <v/>
      </c>
      <c r="R163" s="39"/>
      <c r="S163" s="83"/>
      <c r="T163" s="84"/>
      <c r="U163" s="83"/>
      <c r="V163" s="84"/>
      <c r="Z163" s="39"/>
      <c r="AA163" s="39"/>
      <c r="AB163" s="39"/>
      <c r="AC163" s="39"/>
      <c r="AD163" s="39"/>
      <c r="AE163" s="39"/>
      <c r="AF163" s="39"/>
      <c r="AO163" s="39"/>
      <c r="AP163" s="39"/>
      <c r="AQ163" s="39"/>
      <c r="AR163" s="39"/>
      <c r="AS163" s="39"/>
      <c r="AT163" s="39"/>
      <c r="AU163" s="39"/>
      <c r="AV163" s="39"/>
      <c r="AW163" s="39"/>
      <c r="AX163" s="39"/>
      <c r="AY163" s="39"/>
      <c r="AZ163" s="39"/>
      <c r="BA163" s="39"/>
      <c r="BB163" s="39"/>
      <c r="BC163" s="39"/>
    </row>
    <row r="164" spans="2:55" s="69" customFormat="1" x14ac:dyDescent="0.25">
      <c r="B164" s="68" t="str">
        <f ca="1">IFERROR(INDEX('Points Lookup'!$A:$A,MATCH($AA166,'Points Lookup'!$AN:$AN,0)),"")</f>
        <v/>
      </c>
      <c r="C164" s="81" t="str">
        <f ca="1">IF(B164="","",SUMIF(INDIRECT("'Points Lookup'!"&amp;VLOOKUP($B$2,Grades!A:BU,72,FALSE)&amp;":"&amp;VLOOKUP($B$2,Grades!A:BU,72,FALSE)),B164,INDIRECT("'Points Lookup'!"&amp;VLOOKUP($B$2,Grades!A:BU,73,FALSE)&amp;":"&amp;VLOOKUP($B$2,Grades!A:BU,73,FALSE))))</f>
        <v/>
      </c>
      <c r="D164" s="81"/>
      <c r="E164" s="81"/>
      <c r="F164" s="81" t="str">
        <f ca="1">IF($B164="","",IF(SUMIF(Grades!$A:$A,$B$2,Grades!$BO:$BO)=0,"-",IF(AND(VLOOKUP($B$2,Grades!$A:$BV,74,FALSE)="YES",B164&lt;Thresholds_Rates!$C$16),"-",$C164*Thresholds_Rates!$F$15)))</f>
        <v/>
      </c>
      <c r="G164" s="81" t="str">
        <f ca="1">IF(B164="","",IF($B$2="Salary Points 1 to 57","-",IF(SUMIF(Grades!$A:$A,$B$2,Grades!$BP:$BP)=0,"-",IF(AND(OR($B$2="New Consultant Contract"),$B164&lt;&gt;""),$C164*Thresholds_Rates!$F$16,IF(AND(OR($B$2="Clinical Lecturer / Medical Research Fellow",$B$2="Clinical Consultant - Old Contract (GP)"),$B164&lt;&gt;""),$C164*Thresholds_Rates!$F$16,IF(AND(OR($B$2="APM Level 7",$B$2="R&amp;T Level 7"),F164&lt;&gt;""),$C164*Thresholds_Rates!$F$16,IF(SUMIF(Grades!$A:$A,$B$2,Grades!$BP:$BP)=1,$C164*Thresholds_Rates!$F$16,"")))))))</f>
        <v/>
      </c>
      <c r="H164" s="81" t="str">
        <f ca="1">IF(B164="","",IF(SUMIF(Grades!$A:$A,$B$2,Grades!$BQ:$BQ)=0,"-",IF(AND($B$2="Salary Points 1 to 57",B164&gt;Thresholds_Rates!$C$17),"-",IF(AND($B$2="Salary Points 1 to 57",B164&lt;=Thresholds_Rates!$C$17),$C164*Thresholds_Rates!$F$17,IF(AND(OR($B$2="New Consultant Contract"),$B164&lt;&gt;""),$C164*Thresholds_Rates!$F$17,IF(AND(OR($B$2="Clinical Lecturer / Medical Research Fellow",$B$2="Clinical Consultant - Old Contract (GP)"),$B164&lt;&gt;""),$C164*Thresholds_Rates!$F$17,IF(AND(OR($B$2="APM Level 7",$B$2="R&amp;T Level 7"),G164&lt;&gt;""),$C164*Thresholds_Rates!$F$17,IF(SUMIF(Grades!$A:$A,$B$2,Grades!$BQ:$BQ)=1,$C164*Thresholds_Rates!$F$17,""))))))))</f>
        <v/>
      </c>
      <c r="I164" s="81"/>
      <c r="J164" s="81" t="str">
        <f ca="1">IF(B164="","",(C164*Thresholds_Rates!$C$12))</f>
        <v/>
      </c>
      <c r="K164" s="81"/>
      <c r="L164" s="68"/>
      <c r="M164" s="81" t="str">
        <f t="shared" ca="1" si="12"/>
        <v/>
      </c>
      <c r="N164" s="81" t="str">
        <f t="shared" ca="1" si="13"/>
        <v/>
      </c>
      <c r="O164" s="81" t="str">
        <f t="shared" ca="1" si="14"/>
        <v/>
      </c>
      <c r="P164" s="81" t="str">
        <f t="shared" ca="1" si="15"/>
        <v/>
      </c>
      <c r="Q164" s="81" t="str">
        <f t="shared" ca="1" si="16"/>
        <v/>
      </c>
      <c r="R164" s="39"/>
      <c r="S164" s="83"/>
      <c r="T164" s="84"/>
      <c r="U164" s="83"/>
      <c r="V164" s="84"/>
      <c r="Z164" s="39"/>
      <c r="AA164" s="39"/>
      <c r="AB164" s="39"/>
      <c r="AC164" s="39"/>
      <c r="AD164" s="39"/>
      <c r="AE164" s="39"/>
      <c r="AF164" s="39"/>
      <c r="AO164" s="39"/>
      <c r="AP164" s="39"/>
      <c r="AQ164" s="39"/>
      <c r="AR164" s="39"/>
      <c r="AS164" s="39"/>
      <c r="AT164" s="39"/>
      <c r="AU164" s="39"/>
      <c r="AV164" s="39"/>
      <c r="AW164" s="39"/>
      <c r="AX164" s="39"/>
      <c r="AY164" s="39"/>
      <c r="AZ164" s="39"/>
      <c r="BA164" s="39"/>
      <c r="BB164" s="39"/>
      <c r="BC164" s="39"/>
    </row>
    <row r="165" spans="2:55" s="69" customFormat="1" x14ac:dyDescent="0.25">
      <c r="B165" s="68" t="str">
        <f ca="1">IFERROR(INDEX('Points Lookup'!$A:$A,MATCH($AA167,'Points Lookup'!$AN:$AN,0)),"")</f>
        <v/>
      </c>
      <c r="C165" s="81" t="str">
        <f ca="1">IF(B165="","",SUMIF(INDIRECT("'Points Lookup'!"&amp;VLOOKUP($B$2,Grades!A:BU,72,FALSE)&amp;":"&amp;VLOOKUP($B$2,Grades!A:BU,72,FALSE)),B165,INDIRECT("'Points Lookup'!"&amp;VLOOKUP($B$2,Grades!A:BU,73,FALSE)&amp;":"&amp;VLOOKUP($B$2,Grades!A:BU,73,FALSE))))</f>
        <v/>
      </c>
      <c r="D165" s="81"/>
      <c r="E165" s="81"/>
      <c r="F165" s="81" t="str">
        <f ca="1">IF($B165="","",IF(SUMIF(Grades!$A:$A,$B$2,Grades!$BO:$BO)=0,"-",IF(AND(VLOOKUP($B$2,Grades!$A:$BV,74,FALSE)="YES",B165&lt;Thresholds_Rates!$C$16),"-",$C165*Thresholds_Rates!$F$15)))</f>
        <v/>
      </c>
      <c r="G165" s="81" t="str">
        <f ca="1">IF(B165="","",IF($B$2="Salary Points 1 to 57","-",IF(SUMIF(Grades!$A:$A,$B$2,Grades!$BP:$BP)=0,"-",IF(AND(OR($B$2="New Consultant Contract"),$B165&lt;&gt;""),$C165*Thresholds_Rates!$F$16,IF(AND(OR($B$2="Clinical Lecturer / Medical Research Fellow",$B$2="Clinical Consultant - Old Contract (GP)"),$B165&lt;&gt;""),$C165*Thresholds_Rates!$F$16,IF(AND(OR($B$2="APM Level 7",$B$2="R&amp;T Level 7"),F165&lt;&gt;""),$C165*Thresholds_Rates!$F$16,IF(SUMIF(Grades!$A:$A,$B$2,Grades!$BP:$BP)=1,$C165*Thresholds_Rates!$F$16,"")))))))</f>
        <v/>
      </c>
      <c r="H165" s="81" t="str">
        <f ca="1">IF(B165="","",IF(SUMIF(Grades!$A:$A,$B$2,Grades!$BQ:$BQ)=0,"-",IF(AND($B$2="Salary Points 1 to 57",B165&gt;Thresholds_Rates!$C$17),"-",IF(AND($B$2="Salary Points 1 to 57",B165&lt;=Thresholds_Rates!$C$17),$C165*Thresholds_Rates!$F$17,IF(AND(OR($B$2="New Consultant Contract"),$B165&lt;&gt;""),$C165*Thresholds_Rates!$F$17,IF(AND(OR($B$2="Clinical Lecturer / Medical Research Fellow",$B$2="Clinical Consultant - Old Contract (GP)"),$B165&lt;&gt;""),$C165*Thresholds_Rates!$F$17,IF(AND(OR($B$2="APM Level 7",$B$2="R&amp;T Level 7"),G165&lt;&gt;""),$C165*Thresholds_Rates!$F$17,IF(SUMIF(Grades!$A:$A,$B$2,Grades!$BQ:$BQ)=1,$C165*Thresholds_Rates!$F$17,""))))))))</f>
        <v/>
      </c>
      <c r="I165" s="81"/>
      <c r="J165" s="81" t="str">
        <f ca="1">IF(B165="","",(C165*Thresholds_Rates!$C$12))</f>
        <v/>
      </c>
      <c r="K165" s="81"/>
      <c r="L165" s="68"/>
      <c r="M165" s="81" t="str">
        <f t="shared" ca="1" si="12"/>
        <v/>
      </c>
      <c r="N165" s="81" t="str">
        <f t="shared" ca="1" si="13"/>
        <v/>
      </c>
      <c r="O165" s="81" t="str">
        <f t="shared" ca="1" si="14"/>
        <v/>
      </c>
      <c r="P165" s="81" t="str">
        <f t="shared" ca="1" si="15"/>
        <v/>
      </c>
      <c r="Q165" s="81" t="str">
        <f t="shared" ca="1" si="16"/>
        <v/>
      </c>
      <c r="R165" s="39"/>
      <c r="S165" s="83"/>
      <c r="T165" s="84"/>
      <c r="U165" s="83"/>
      <c r="V165" s="84"/>
      <c r="Z165" s="39"/>
      <c r="AA165" s="39"/>
      <c r="AB165" s="39"/>
      <c r="AC165" s="39"/>
      <c r="AD165" s="39"/>
      <c r="AE165" s="39"/>
      <c r="AF165" s="39"/>
      <c r="AO165" s="39"/>
      <c r="AP165" s="39"/>
      <c r="AQ165" s="39"/>
      <c r="AR165" s="39"/>
      <c r="AS165" s="39"/>
      <c r="AT165" s="39"/>
      <c r="AU165" s="39"/>
      <c r="AV165" s="39"/>
      <c r="AW165" s="39"/>
      <c r="AX165" s="39"/>
      <c r="AY165" s="39"/>
      <c r="AZ165" s="39"/>
      <c r="BA165" s="39"/>
      <c r="BB165" s="39"/>
      <c r="BC165" s="39"/>
    </row>
    <row r="166" spans="2:55" s="69" customFormat="1" x14ac:dyDescent="0.25">
      <c r="B166" s="68" t="str">
        <f ca="1">IFERROR(INDEX('Points Lookup'!$A:$A,MATCH($AA168,'Points Lookup'!$AN:$AN,0)),"")</f>
        <v/>
      </c>
      <c r="C166" s="81" t="str">
        <f ca="1">IF(B166="","",SUMIF(INDIRECT("'Points Lookup'!"&amp;VLOOKUP($B$2,Grades!A:BU,72,FALSE)&amp;":"&amp;VLOOKUP($B$2,Grades!A:BU,72,FALSE)),B166,INDIRECT("'Points Lookup'!"&amp;VLOOKUP($B$2,Grades!A:BU,73,FALSE)&amp;":"&amp;VLOOKUP($B$2,Grades!A:BU,73,FALSE))))</f>
        <v/>
      </c>
      <c r="D166" s="81"/>
      <c r="E166" s="81"/>
      <c r="F166" s="81" t="str">
        <f ca="1">IF($B166="","",IF(SUMIF(Grades!$A:$A,$B$2,Grades!$BO:$BO)=0,"-",IF(AND(VLOOKUP($B$2,Grades!$A:$BV,74,FALSE)="YES",B166&lt;Thresholds_Rates!$C$16),"-",$C166*Thresholds_Rates!$F$15)))</f>
        <v/>
      </c>
      <c r="G166" s="81" t="str">
        <f ca="1">IF(B166="","",IF($B$2="Salary Points 1 to 57","-",IF(SUMIF(Grades!$A:$A,$B$2,Grades!$BP:$BP)=0,"-",IF(AND(OR($B$2="New Consultant Contract"),$B166&lt;&gt;""),$C166*Thresholds_Rates!$F$16,IF(AND(OR($B$2="Clinical Lecturer / Medical Research Fellow",$B$2="Clinical Consultant - Old Contract (GP)"),$B166&lt;&gt;""),$C166*Thresholds_Rates!$F$16,IF(AND(OR($B$2="APM Level 7",$B$2="R&amp;T Level 7"),F166&lt;&gt;""),$C166*Thresholds_Rates!$F$16,IF(SUMIF(Grades!$A:$A,$B$2,Grades!$BP:$BP)=1,$C166*Thresholds_Rates!$F$16,"")))))))</f>
        <v/>
      </c>
      <c r="H166" s="81" t="str">
        <f ca="1">IF(B166="","",IF(SUMIF(Grades!$A:$A,$B$2,Grades!$BQ:$BQ)=0,"-",IF(AND($B$2="Salary Points 1 to 57",B166&gt;Thresholds_Rates!$C$17),"-",IF(AND($B$2="Salary Points 1 to 57",B166&lt;=Thresholds_Rates!$C$17),$C166*Thresholds_Rates!$F$17,IF(AND(OR($B$2="New Consultant Contract"),$B166&lt;&gt;""),$C166*Thresholds_Rates!$F$17,IF(AND(OR($B$2="Clinical Lecturer / Medical Research Fellow",$B$2="Clinical Consultant - Old Contract (GP)"),$B166&lt;&gt;""),$C166*Thresholds_Rates!$F$17,IF(AND(OR($B$2="APM Level 7",$B$2="R&amp;T Level 7"),G166&lt;&gt;""),$C166*Thresholds_Rates!$F$17,IF(SUMIF(Grades!$A:$A,$B$2,Grades!$BQ:$BQ)=1,$C166*Thresholds_Rates!$F$17,""))))))))</f>
        <v/>
      </c>
      <c r="I166" s="81"/>
      <c r="J166" s="81" t="str">
        <f ca="1">IF(B166="","",(C166*Thresholds_Rates!$C$12))</f>
        <v/>
      </c>
      <c r="K166" s="81"/>
      <c r="L166" s="68"/>
      <c r="M166" s="81" t="str">
        <f t="shared" ca="1" si="12"/>
        <v/>
      </c>
      <c r="N166" s="81" t="str">
        <f t="shared" ca="1" si="13"/>
        <v/>
      </c>
      <c r="O166" s="81" t="str">
        <f t="shared" ca="1" si="14"/>
        <v/>
      </c>
      <c r="P166" s="81" t="str">
        <f t="shared" ca="1" si="15"/>
        <v/>
      </c>
      <c r="Q166" s="81" t="str">
        <f t="shared" ca="1" si="16"/>
        <v/>
      </c>
      <c r="R166" s="39"/>
      <c r="S166" s="83"/>
      <c r="T166" s="84"/>
      <c r="U166" s="83"/>
      <c r="V166" s="84"/>
      <c r="Z166" s="39"/>
      <c r="AA166" s="39"/>
      <c r="AB166" s="39"/>
      <c r="AC166" s="39"/>
      <c r="AD166" s="39"/>
      <c r="AE166" s="39"/>
      <c r="AF166" s="39"/>
      <c r="AO166" s="39"/>
      <c r="AP166" s="39"/>
      <c r="AQ166" s="39"/>
      <c r="AR166" s="39"/>
      <c r="AS166" s="39"/>
      <c r="AT166" s="39"/>
      <c r="AU166" s="39"/>
      <c r="AV166" s="39"/>
      <c r="AW166" s="39"/>
      <c r="AX166" s="39"/>
      <c r="AY166" s="39"/>
      <c r="AZ166" s="39"/>
      <c r="BA166" s="39"/>
      <c r="BB166" s="39"/>
      <c r="BC166" s="39"/>
    </row>
    <row r="167" spans="2:55" s="69" customFormat="1" x14ac:dyDescent="0.25">
      <c r="B167" s="68" t="str">
        <f ca="1">IFERROR(INDEX('Points Lookup'!$A:$A,MATCH($AA169,'Points Lookup'!$AN:$AN,0)),"")</f>
        <v/>
      </c>
      <c r="C167" s="81" t="str">
        <f ca="1">IF(B167="","",SUMIF(INDIRECT("'Points Lookup'!"&amp;VLOOKUP($B$2,Grades!A:BU,72,FALSE)&amp;":"&amp;VLOOKUP($B$2,Grades!A:BU,72,FALSE)),B167,INDIRECT("'Points Lookup'!"&amp;VLOOKUP($B$2,Grades!A:BU,73,FALSE)&amp;":"&amp;VLOOKUP($B$2,Grades!A:BU,73,FALSE))))</f>
        <v/>
      </c>
      <c r="D167" s="81"/>
      <c r="E167" s="81"/>
      <c r="F167" s="81" t="str">
        <f ca="1">IF($B167="","",IF(SUMIF(Grades!$A:$A,$B$2,Grades!$BO:$BO)=0,"-",IF(AND(VLOOKUP($B$2,Grades!$A:$BV,74,FALSE)="YES",B167&lt;Thresholds_Rates!$C$16),"-",$C167*Thresholds_Rates!$F$15)))</f>
        <v/>
      </c>
      <c r="G167" s="81" t="str">
        <f ca="1">IF(B167="","",IF($B$2="Salary Points 1 to 57","-",IF(SUMIF(Grades!$A:$A,$B$2,Grades!$BP:$BP)=0,"-",IF(AND(OR($B$2="New Consultant Contract"),$B167&lt;&gt;""),$C167*Thresholds_Rates!$F$16,IF(AND(OR($B$2="Clinical Lecturer / Medical Research Fellow",$B$2="Clinical Consultant - Old Contract (GP)"),$B167&lt;&gt;""),$C167*Thresholds_Rates!$F$16,IF(AND(OR($B$2="APM Level 7",$B$2="R&amp;T Level 7"),F167&lt;&gt;""),$C167*Thresholds_Rates!$F$16,IF(SUMIF(Grades!$A:$A,$B$2,Grades!$BP:$BP)=1,$C167*Thresholds_Rates!$F$16,"")))))))</f>
        <v/>
      </c>
      <c r="H167" s="81" t="str">
        <f ca="1">IF(B167="","",IF(SUMIF(Grades!$A:$A,$B$2,Grades!$BQ:$BQ)=0,"-",IF(AND($B$2="Salary Points 1 to 57",B167&gt;Thresholds_Rates!$C$17),"-",IF(AND($B$2="Salary Points 1 to 57",B167&lt;=Thresholds_Rates!$C$17),$C167*Thresholds_Rates!$F$17,IF(AND(OR($B$2="New Consultant Contract"),$B167&lt;&gt;""),$C167*Thresholds_Rates!$F$17,IF(AND(OR($B$2="Clinical Lecturer / Medical Research Fellow",$B$2="Clinical Consultant - Old Contract (GP)"),$B167&lt;&gt;""),$C167*Thresholds_Rates!$F$17,IF(AND(OR($B$2="APM Level 7",$B$2="R&amp;T Level 7"),G167&lt;&gt;""),$C167*Thresholds_Rates!$F$17,IF(SUMIF(Grades!$A:$A,$B$2,Grades!$BQ:$BQ)=1,$C167*Thresholds_Rates!$F$17,""))))))))</f>
        <v/>
      </c>
      <c r="I167" s="81"/>
      <c r="J167" s="81" t="str">
        <f ca="1">IF(B167="","",(C167*Thresholds_Rates!$C$12))</f>
        <v/>
      </c>
      <c r="K167" s="81"/>
      <c r="L167" s="68"/>
      <c r="M167" s="81" t="str">
        <f t="shared" ca="1" si="12"/>
        <v/>
      </c>
      <c r="N167" s="81" t="str">
        <f t="shared" ca="1" si="13"/>
        <v/>
      </c>
      <c r="O167" s="81" t="str">
        <f t="shared" ca="1" si="14"/>
        <v/>
      </c>
      <c r="P167" s="81" t="str">
        <f t="shared" ca="1" si="15"/>
        <v/>
      </c>
      <c r="Q167" s="81" t="str">
        <f t="shared" ca="1" si="16"/>
        <v/>
      </c>
      <c r="R167" s="39"/>
      <c r="S167" s="83"/>
      <c r="T167" s="84"/>
      <c r="U167" s="83"/>
      <c r="V167" s="84"/>
      <c r="Z167" s="39"/>
      <c r="AA167" s="39"/>
      <c r="AB167" s="39"/>
      <c r="AC167" s="39"/>
      <c r="AD167" s="39"/>
      <c r="AE167" s="39"/>
      <c r="AF167" s="39"/>
      <c r="AO167" s="39"/>
      <c r="AP167" s="39"/>
      <c r="AQ167" s="39"/>
      <c r="AR167" s="39"/>
      <c r="AS167" s="39"/>
      <c r="AT167" s="39"/>
      <c r="AU167" s="39"/>
      <c r="AV167" s="39"/>
      <c r="AW167" s="39"/>
      <c r="AX167" s="39"/>
      <c r="AY167" s="39"/>
      <c r="AZ167" s="39"/>
      <c r="BA167" s="39"/>
      <c r="BB167" s="39"/>
      <c r="BC167" s="39"/>
    </row>
    <row r="168" spans="2:55" s="69" customFormat="1" x14ac:dyDescent="0.25">
      <c r="B168" s="68" t="str">
        <f ca="1">IFERROR(INDEX('Points Lookup'!$A:$A,MATCH($AA170,'Points Lookup'!$AN:$AN,0)),"")</f>
        <v/>
      </c>
      <c r="C168" s="81" t="str">
        <f ca="1">IF(B168="","",SUMIF(INDIRECT("'Points Lookup'!"&amp;VLOOKUP($B$2,Grades!A:BU,72,FALSE)&amp;":"&amp;VLOOKUP($B$2,Grades!A:BU,72,FALSE)),B168,INDIRECT("'Points Lookup'!"&amp;VLOOKUP($B$2,Grades!A:BU,73,FALSE)&amp;":"&amp;VLOOKUP($B$2,Grades!A:BU,73,FALSE))))</f>
        <v/>
      </c>
      <c r="D168" s="81"/>
      <c r="E168" s="81"/>
      <c r="F168" s="81" t="str">
        <f ca="1">IF($B168="","",IF(SUMIF(Grades!$A:$A,$B$2,Grades!$BO:$BO)=0,"-",IF(AND(VLOOKUP($B$2,Grades!$A:$BV,74,FALSE)="YES",B168&lt;Thresholds_Rates!$C$16),"-",$C168*Thresholds_Rates!$F$15)))</f>
        <v/>
      </c>
      <c r="G168" s="81" t="str">
        <f ca="1">IF(B168="","",IF($B$2="Salary Points 1 to 57","-",IF(SUMIF(Grades!$A:$A,$B$2,Grades!$BP:$BP)=0,"-",IF(AND(OR($B$2="New Consultant Contract"),$B168&lt;&gt;""),$C168*Thresholds_Rates!$F$16,IF(AND(OR($B$2="Clinical Lecturer / Medical Research Fellow",$B$2="Clinical Consultant - Old Contract (GP)"),$B168&lt;&gt;""),$C168*Thresholds_Rates!$F$16,IF(AND(OR($B$2="APM Level 7",$B$2="R&amp;T Level 7"),F168&lt;&gt;""),$C168*Thresholds_Rates!$F$16,IF(SUMIF(Grades!$A:$A,$B$2,Grades!$BP:$BP)=1,$C168*Thresholds_Rates!$F$16,"")))))))</f>
        <v/>
      </c>
      <c r="H168" s="81" t="str">
        <f ca="1">IF(B168="","",IF(SUMIF(Grades!$A:$A,$B$2,Grades!$BQ:$BQ)=0,"-",IF(AND($B$2="Salary Points 1 to 57",B168&gt;Thresholds_Rates!$C$17),"-",IF(AND($B$2="Salary Points 1 to 57",B168&lt;=Thresholds_Rates!$C$17),$C168*Thresholds_Rates!$F$17,IF(AND(OR($B$2="New Consultant Contract"),$B168&lt;&gt;""),$C168*Thresholds_Rates!$F$17,IF(AND(OR($B$2="Clinical Lecturer / Medical Research Fellow",$B$2="Clinical Consultant - Old Contract (GP)"),$B168&lt;&gt;""),$C168*Thresholds_Rates!$F$17,IF(AND(OR($B$2="APM Level 7",$B$2="R&amp;T Level 7"),G168&lt;&gt;""),$C168*Thresholds_Rates!$F$17,IF(SUMIF(Grades!$A:$A,$B$2,Grades!$BQ:$BQ)=1,$C168*Thresholds_Rates!$F$17,""))))))))</f>
        <v/>
      </c>
      <c r="I168" s="81"/>
      <c r="J168" s="81" t="str">
        <f ca="1">IF(B168="","",(C168*Thresholds_Rates!$C$12))</f>
        <v/>
      </c>
      <c r="K168" s="81"/>
      <c r="L168" s="68"/>
      <c r="M168" s="81" t="str">
        <f t="shared" ca="1" si="12"/>
        <v/>
      </c>
      <c r="N168" s="81" t="str">
        <f t="shared" ca="1" si="13"/>
        <v/>
      </c>
      <c r="O168" s="81" t="str">
        <f t="shared" ca="1" si="14"/>
        <v/>
      </c>
      <c r="P168" s="81" t="str">
        <f t="shared" ca="1" si="15"/>
        <v/>
      </c>
      <c r="Q168" s="81" t="str">
        <f t="shared" ca="1" si="16"/>
        <v/>
      </c>
      <c r="R168" s="39"/>
      <c r="S168" s="83"/>
      <c r="T168" s="84"/>
      <c r="U168" s="83"/>
      <c r="V168" s="84"/>
      <c r="Z168" s="39"/>
      <c r="AA168" s="39"/>
      <c r="AB168" s="39"/>
      <c r="AC168" s="39"/>
      <c r="AD168" s="39"/>
      <c r="AE168" s="39"/>
      <c r="AF168" s="39"/>
      <c r="AO168" s="39"/>
      <c r="AP168" s="39"/>
      <c r="AQ168" s="39"/>
      <c r="AR168" s="39"/>
      <c r="AS168" s="39"/>
      <c r="AT168" s="39"/>
      <c r="AU168" s="39"/>
      <c r="AV168" s="39"/>
      <c r="AW168" s="39"/>
      <c r="AX168" s="39"/>
      <c r="AY168" s="39"/>
      <c r="AZ168" s="39"/>
      <c r="BA168" s="39"/>
      <c r="BB168" s="39"/>
      <c r="BC168" s="39"/>
    </row>
    <row r="169" spans="2:55" s="69" customFormat="1" x14ac:dyDescent="0.25">
      <c r="B169" s="68" t="str">
        <f ca="1">IFERROR(INDEX('Points Lookup'!$A:$A,MATCH($AA171,'Points Lookup'!$AN:$AN,0)),"")</f>
        <v/>
      </c>
      <c r="C169" s="81" t="str">
        <f ca="1">IF(B169="","",SUMIF(INDIRECT("'Points Lookup'!"&amp;VLOOKUP($B$2,Grades!A:BU,72,FALSE)&amp;":"&amp;VLOOKUP($B$2,Grades!A:BU,72,FALSE)),B169,INDIRECT("'Points Lookup'!"&amp;VLOOKUP($B$2,Grades!A:BU,73,FALSE)&amp;":"&amp;VLOOKUP($B$2,Grades!A:BU,73,FALSE))))</f>
        <v/>
      </c>
      <c r="D169" s="81"/>
      <c r="E169" s="81"/>
      <c r="F169" s="81" t="str">
        <f ca="1">IF($B169="","",IF(SUMIF(Grades!$A:$A,$B$2,Grades!$BO:$BO)=0,"-",IF(AND(VLOOKUP($B$2,Grades!$A:$BV,74,FALSE)="YES",B169&lt;Thresholds_Rates!$C$16),"-",$C169*Thresholds_Rates!$F$15)))</f>
        <v/>
      </c>
      <c r="G169" s="81" t="str">
        <f ca="1">IF(B169="","",IF($B$2="Salary Points 1 to 57","-",IF(SUMIF(Grades!$A:$A,$B$2,Grades!$BP:$BP)=0,"-",IF(AND(OR($B$2="New Consultant Contract"),$B169&lt;&gt;""),$C169*Thresholds_Rates!$F$16,IF(AND(OR($B$2="Clinical Lecturer / Medical Research Fellow",$B$2="Clinical Consultant - Old Contract (GP)"),$B169&lt;&gt;""),$C169*Thresholds_Rates!$F$16,IF(AND(OR($B$2="APM Level 7",$B$2="R&amp;T Level 7"),F169&lt;&gt;""),$C169*Thresholds_Rates!$F$16,IF(SUMIF(Grades!$A:$A,$B$2,Grades!$BP:$BP)=1,$C169*Thresholds_Rates!$F$16,"")))))))</f>
        <v/>
      </c>
      <c r="H169" s="81" t="str">
        <f ca="1">IF(B169="","",IF(SUMIF(Grades!$A:$A,$B$2,Grades!$BQ:$BQ)=0,"-",IF(AND($B$2="Salary Points 1 to 57",B169&gt;Thresholds_Rates!$C$17),"-",IF(AND($B$2="Salary Points 1 to 57",B169&lt;=Thresholds_Rates!$C$17),$C169*Thresholds_Rates!$F$17,IF(AND(OR($B$2="New Consultant Contract"),$B169&lt;&gt;""),$C169*Thresholds_Rates!$F$17,IF(AND(OR($B$2="Clinical Lecturer / Medical Research Fellow",$B$2="Clinical Consultant - Old Contract (GP)"),$B169&lt;&gt;""),$C169*Thresholds_Rates!$F$17,IF(AND(OR($B$2="APM Level 7",$B$2="R&amp;T Level 7"),G169&lt;&gt;""),$C169*Thresholds_Rates!$F$17,IF(SUMIF(Grades!$A:$A,$B$2,Grades!$BQ:$BQ)=1,$C169*Thresholds_Rates!$F$17,""))))))))</f>
        <v/>
      </c>
      <c r="I169" s="81"/>
      <c r="J169" s="81" t="str">
        <f ca="1">IF(B169="","",(C169*Thresholds_Rates!$C$12))</f>
        <v/>
      </c>
      <c r="K169" s="81"/>
      <c r="L169" s="68"/>
      <c r="M169" s="81" t="str">
        <f t="shared" ca="1" si="12"/>
        <v/>
      </c>
      <c r="N169" s="81" t="str">
        <f t="shared" ca="1" si="13"/>
        <v/>
      </c>
      <c r="O169" s="81" t="str">
        <f t="shared" ca="1" si="14"/>
        <v/>
      </c>
      <c r="P169" s="81" t="str">
        <f t="shared" ca="1" si="15"/>
        <v/>
      </c>
      <c r="Q169" s="81" t="str">
        <f t="shared" ca="1" si="16"/>
        <v/>
      </c>
      <c r="R169" s="39"/>
      <c r="S169" s="83"/>
      <c r="T169" s="84"/>
      <c r="U169" s="83"/>
      <c r="V169" s="84"/>
      <c r="Z169" s="39"/>
      <c r="AA169" s="39"/>
      <c r="AB169" s="39"/>
      <c r="AC169" s="39"/>
      <c r="AD169" s="39"/>
      <c r="AE169" s="39"/>
      <c r="AF169" s="39"/>
      <c r="AO169" s="39"/>
      <c r="AP169" s="39"/>
      <c r="AQ169" s="39"/>
      <c r="AR169" s="39"/>
      <c r="AS169" s="39"/>
      <c r="AT169" s="39"/>
      <c r="AU169" s="39"/>
      <c r="AV169" s="39"/>
      <c r="AW169" s="39"/>
      <c r="AX169" s="39"/>
      <c r="AY169" s="39"/>
      <c r="AZ169" s="39"/>
      <c r="BA169" s="39"/>
      <c r="BB169" s="39"/>
      <c r="BC169" s="39"/>
    </row>
    <row r="170" spans="2:55" s="69" customFormat="1" x14ac:dyDescent="0.25">
      <c r="B170" s="68" t="str">
        <f ca="1">IFERROR(INDEX('Points Lookup'!$A:$A,MATCH($AA172,'Points Lookup'!$AN:$AN,0)),"")</f>
        <v/>
      </c>
      <c r="C170" s="81" t="str">
        <f ca="1">IF(B170="","",SUMIF(INDIRECT("'Points Lookup'!"&amp;VLOOKUP($B$2,Grades!A:BU,72,FALSE)&amp;":"&amp;VLOOKUP($B$2,Grades!A:BU,72,FALSE)),B170,INDIRECT("'Points Lookup'!"&amp;VLOOKUP($B$2,Grades!A:BU,73,FALSE)&amp;":"&amp;VLOOKUP($B$2,Grades!A:BU,73,FALSE))))</f>
        <v/>
      </c>
      <c r="D170" s="81"/>
      <c r="E170" s="81"/>
      <c r="F170" s="81" t="str">
        <f ca="1">IF($B170="","",IF(SUMIF(Grades!$A:$A,$B$2,Grades!$BO:$BO)=0,"-",IF(AND(VLOOKUP($B$2,Grades!$A:$BV,74,FALSE)="YES",B170&lt;Thresholds_Rates!$C$16),"-",$C170*Thresholds_Rates!$F$15)))</f>
        <v/>
      </c>
      <c r="G170" s="81" t="str">
        <f ca="1">IF(B170="","",IF($B$2="Salary Points 1 to 57","-",IF(SUMIF(Grades!$A:$A,$B$2,Grades!$BP:$BP)=0,"-",IF(AND(OR($B$2="New Consultant Contract"),$B170&lt;&gt;""),$C170*Thresholds_Rates!$F$16,IF(AND(OR($B$2="Clinical Lecturer / Medical Research Fellow",$B$2="Clinical Consultant - Old Contract (GP)"),$B170&lt;&gt;""),$C170*Thresholds_Rates!$F$16,IF(AND(OR($B$2="APM Level 7",$B$2="R&amp;T Level 7"),F170&lt;&gt;""),$C170*Thresholds_Rates!$F$16,IF(SUMIF(Grades!$A:$A,$B$2,Grades!$BP:$BP)=1,$C170*Thresholds_Rates!$F$16,"")))))))</f>
        <v/>
      </c>
      <c r="H170" s="81" t="str">
        <f ca="1">IF(B170="","",IF(SUMIF(Grades!$A:$A,$B$2,Grades!$BQ:$BQ)=0,"-",IF(AND($B$2="Salary Points 1 to 57",B170&gt;Thresholds_Rates!$C$17),"-",IF(AND($B$2="Salary Points 1 to 57",B170&lt;=Thresholds_Rates!$C$17),$C170*Thresholds_Rates!$F$17,IF(AND(OR($B$2="New Consultant Contract"),$B170&lt;&gt;""),$C170*Thresholds_Rates!$F$17,IF(AND(OR($B$2="Clinical Lecturer / Medical Research Fellow",$B$2="Clinical Consultant - Old Contract (GP)"),$B170&lt;&gt;""),$C170*Thresholds_Rates!$F$17,IF(AND(OR($B$2="APM Level 7",$B$2="R&amp;T Level 7"),G170&lt;&gt;""),$C170*Thresholds_Rates!$F$17,IF(SUMIF(Grades!$A:$A,$B$2,Grades!$BQ:$BQ)=1,$C170*Thresholds_Rates!$F$17,""))))))))</f>
        <v/>
      </c>
      <c r="I170" s="81"/>
      <c r="J170" s="81" t="str">
        <f ca="1">IF(B170="","",(C170*Thresholds_Rates!$C$12))</f>
        <v/>
      </c>
      <c r="K170" s="81"/>
      <c r="L170" s="68"/>
      <c r="M170" s="81" t="str">
        <f t="shared" ca="1" si="12"/>
        <v/>
      </c>
      <c r="N170" s="81" t="str">
        <f t="shared" ca="1" si="13"/>
        <v/>
      </c>
      <c r="O170" s="81" t="str">
        <f t="shared" ca="1" si="14"/>
        <v/>
      </c>
      <c r="P170" s="81" t="str">
        <f t="shared" ca="1" si="15"/>
        <v/>
      </c>
      <c r="Q170" s="81" t="str">
        <f t="shared" ca="1" si="16"/>
        <v/>
      </c>
      <c r="R170" s="39"/>
      <c r="S170" s="83"/>
      <c r="T170" s="84"/>
      <c r="U170" s="83"/>
      <c r="V170" s="84"/>
      <c r="Z170" s="39"/>
      <c r="AA170" s="39"/>
      <c r="AB170" s="39"/>
      <c r="AC170" s="39"/>
      <c r="AD170" s="39"/>
      <c r="AE170" s="39"/>
      <c r="AF170" s="39"/>
      <c r="AO170" s="39"/>
      <c r="AP170" s="39"/>
      <c r="AQ170" s="39"/>
      <c r="AR170" s="39"/>
      <c r="AS170" s="39"/>
      <c r="AT170" s="39"/>
      <c r="AU170" s="39"/>
      <c r="AV170" s="39"/>
      <c r="AW170" s="39"/>
      <c r="AX170" s="39"/>
      <c r="AY170" s="39"/>
      <c r="AZ170" s="39"/>
      <c r="BA170" s="39"/>
      <c r="BB170" s="39"/>
      <c r="BC170" s="39"/>
    </row>
    <row r="171" spans="2:55" s="69" customFormat="1" x14ac:dyDescent="0.25">
      <c r="B171" s="68" t="str">
        <f ca="1">IFERROR(INDEX('Points Lookup'!$A:$A,MATCH($AA173,'Points Lookup'!$AN:$AN,0)),"")</f>
        <v/>
      </c>
      <c r="C171" s="81" t="str">
        <f ca="1">IF(B171="","",SUMIF(INDIRECT("'Points Lookup'!"&amp;VLOOKUP($B$2,Grades!A:BU,72,FALSE)&amp;":"&amp;VLOOKUP($B$2,Grades!A:BU,72,FALSE)),B171,INDIRECT("'Points Lookup'!"&amp;VLOOKUP($B$2,Grades!A:BU,73,FALSE)&amp;":"&amp;VLOOKUP($B$2,Grades!A:BU,73,FALSE))))</f>
        <v/>
      </c>
      <c r="D171" s="81"/>
      <c r="E171" s="81"/>
      <c r="F171" s="81" t="str">
        <f ca="1">IF($B171="","",IF(SUMIF(Grades!$A:$A,$B$2,Grades!$BO:$BO)=0,"-",IF(AND(VLOOKUP($B$2,Grades!$A:$BV,74,FALSE)="YES",B171&lt;Thresholds_Rates!$C$16),"-",$C171*Thresholds_Rates!$F$15)))</f>
        <v/>
      </c>
      <c r="G171" s="81" t="str">
        <f ca="1">IF(B171="","",IF($B$2="Salary Points 1 to 57","-",IF(SUMIF(Grades!$A:$A,$B$2,Grades!$BP:$BP)=0,"-",IF(AND(OR($B$2="New Consultant Contract"),$B171&lt;&gt;""),$C171*Thresholds_Rates!$F$16,IF(AND(OR($B$2="Clinical Lecturer / Medical Research Fellow",$B$2="Clinical Consultant - Old Contract (GP)"),$B171&lt;&gt;""),$C171*Thresholds_Rates!$F$16,IF(AND(OR($B$2="APM Level 7",$B$2="R&amp;T Level 7"),F171&lt;&gt;""),$C171*Thresholds_Rates!$F$16,IF(SUMIF(Grades!$A:$A,$B$2,Grades!$BP:$BP)=1,$C171*Thresholds_Rates!$F$16,"")))))))</f>
        <v/>
      </c>
      <c r="H171" s="81" t="str">
        <f ca="1">IF(B171="","",IF(SUMIF(Grades!$A:$A,$B$2,Grades!$BQ:$BQ)=0,"-",IF(AND($B$2="Salary Points 1 to 57",B171&gt;Thresholds_Rates!$C$17),"-",IF(AND($B$2="Salary Points 1 to 57",B171&lt;=Thresholds_Rates!$C$17),$C171*Thresholds_Rates!$F$17,IF(AND(OR($B$2="New Consultant Contract"),$B171&lt;&gt;""),$C171*Thresholds_Rates!$F$17,IF(AND(OR($B$2="Clinical Lecturer / Medical Research Fellow",$B$2="Clinical Consultant - Old Contract (GP)"),$B171&lt;&gt;""),$C171*Thresholds_Rates!$F$17,IF(AND(OR($B$2="APM Level 7",$B$2="R&amp;T Level 7"),G171&lt;&gt;""),$C171*Thresholds_Rates!$F$17,IF(SUMIF(Grades!$A:$A,$B$2,Grades!$BQ:$BQ)=1,$C171*Thresholds_Rates!$F$17,""))))))))</f>
        <v/>
      </c>
      <c r="I171" s="81"/>
      <c r="J171" s="81" t="str">
        <f ca="1">IF(B171="","",(C171*Thresholds_Rates!$C$12))</f>
        <v/>
      </c>
      <c r="K171" s="81"/>
      <c r="L171" s="68"/>
      <c r="M171" s="81" t="str">
        <f t="shared" ca="1" si="12"/>
        <v/>
      </c>
      <c r="N171" s="81" t="str">
        <f t="shared" ca="1" si="13"/>
        <v/>
      </c>
      <c r="O171" s="81" t="str">
        <f t="shared" ca="1" si="14"/>
        <v/>
      </c>
      <c r="P171" s="81" t="str">
        <f t="shared" ca="1" si="15"/>
        <v/>
      </c>
      <c r="Q171" s="81" t="str">
        <f t="shared" ca="1" si="16"/>
        <v/>
      </c>
      <c r="R171" s="39"/>
      <c r="S171" s="83"/>
      <c r="T171" s="84"/>
      <c r="U171" s="83"/>
      <c r="V171" s="84"/>
      <c r="Z171" s="39"/>
      <c r="AA171" s="39"/>
      <c r="AB171" s="39"/>
      <c r="AC171" s="39"/>
      <c r="AD171" s="39"/>
      <c r="AE171" s="39"/>
      <c r="AF171" s="39"/>
      <c r="AO171" s="39"/>
      <c r="AP171" s="39"/>
      <c r="AQ171" s="39"/>
      <c r="AR171" s="39"/>
      <c r="AS171" s="39"/>
      <c r="AT171" s="39"/>
      <c r="AU171" s="39"/>
      <c r="AV171" s="39"/>
      <c r="AW171" s="39"/>
      <c r="AX171" s="39"/>
      <c r="AY171" s="39"/>
      <c r="AZ171" s="39"/>
      <c r="BA171" s="39"/>
      <c r="BB171" s="39"/>
      <c r="BC171" s="39"/>
    </row>
    <row r="172" spans="2:55" s="69" customFormat="1" x14ac:dyDescent="0.25">
      <c r="B172" s="39"/>
      <c r="C172" s="39"/>
      <c r="D172" s="39"/>
      <c r="E172" s="39"/>
      <c r="F172" s="81" t="str">
        <f>IF($B172="","",IF(SUMIF(Grades!$A:$A,$B$2,Grades!$BO:$BO)=0,"-",IF(AND(VLOOKUP($B$2,Grades!$A:$BV,74,FALSE)="YES",B172&lt;Thresholds_Rates!$C$16),"-",$C172*Thresholds_Rates!$F$15)))</f>
        <v/>
      </c>
      <c r="G172" s="39"/>
      <c r="H172" s="39"/>
      <c r="I172" s="39"/>
      <c r="J172" s="39"/>
      <c r="K172" s="39"/>
      <c r="L172" s="39"/>
      <c r="M172" s="81" t="str">
        <f t="shared" ref="M172:M235" si="17">IF(B172="","",IF(F172="-","-",$C172+$I172+F172))</f>
        <v/>
      </c>
      <c r="N172" s="81" t="str">
        <f t="shared" ref="N172:N235" si="18">IF(B172="","",IF(G172="-","-",$C172+$I172+G172))</f>
        <v/>
      </c>
      <c r="O172" s="81" t="str">
        <f t="shared" ref="O172:O235" si="19">IF(B172="","",IF(H172="-","-",$C172+$I172+H172))</f>
        <v/>
      </c>
      <c r="P172" s="81" t="str">
        <f t="shared" ref="P172:P235" si="20">IF(B172="","",IF(K172="-","-",$C172+$I172+K172))</f>
        <v/>
      </c>
      <c r="Q172" s="81" t="str">
        <f t="shared" ref="Q172:Q235" si="21">IF(B172="","",C172+I172)</f>
        <v/>
      </c>
      <c r="R172" s="39"/>
      <c r="S172" s="68"/>
      <c r="T172" s="68"/>
      <c r="U172" s="68"/>
      <c r="V172" s="68"/>
      <c r="Z172" s="39"/>
      <c r="AA172" s="39"/>
      <c r="AB172" s="39"/>
      <c r="AC172" s="39"/>
      <c r="AD172" s="39"/>
      <c r="AE172" s="39"/>
      <c r="AF172" s="39"/>
      <c r="AO172" s="39"/>
      <c r="AP172" s="39"/>
      <c r="AQ172" s="39"/>
      <c r="AR172" s="39"/>
      <c r="AS172" s="39"/>
      <c r="AT172" s="39"/>
      <c r="AU172" s="39"/>
      <c r="AV172" s="39"/>
      <c r="AW172" s="39"/>
      <c r="AX172" s="39"/>
      <c r="AY172" s="39"/>
      <c r="AZ172" s="39"/>
      <c r="BA172" s="39"/>
      <c r="BB172" s="39"/>
      <c r="BC172" s="39"/>
    </row>
    <row r="173" spans="2:55" s="69" customFormat="1" x14ac:dyDescent="0.25">
      <c r="B173" s="39"/>
      <c r="C173" s="39"/>
      <c r="D173" s="39"/>
      <c r="E173" s="39"/>
      <c r="F173" s="81" t="str">
        <f>IF($B173="","",IF(SUMIF(Grades!$A:$A,$B$2,Grades!$BO:$BO)=0,"-",IF(AND(VLOOKUP($B$2,Grades!$A:$BV,74,FALSE)="YES",B173&lt;Thresholds_Rates!$C$16),"-",$C173*Thresholds_Rates!$F$15)))</f>
        <v/>
      </c>
      <c r="G173" s="39"/>
      <c r="H173" s="39"/>
      <c r="I173" s="39"/>
      <c r="J173" s="39"/>
      <c r="K173" s="39"/>
      <c r="L173" s="39"/>
      <c r="M173" s="81" t="str">
        <f t="shared" si="17"/>
        <v/>
      </c>
      <c r="N173" s="81" t="str">
        <f t="shared" si="18"/>
        <v/>
      </c>
      <c r="O173" s="81" t="str">
        <f t="shared" si="19"/>
        <v/>
      </c>
      <c r="P173" s="81" t="str">
        <f t="shared" si="20"/>
        <v/>
      </c>
      <c r="Q173" s="81" t="str">
        <f t="shared" si="21"/>
        <v/>
      </c>
      <c r="R173" s="39"/>
      <c r="S173" s="68"/>
      <c r="T173" s="68"/>
      <c r="U173" s="68"/>
      <c r="V173" s="68"/>
      <c r="Z173" s="39"/>
      <c r="AA173" s="39"/>
      <c r="AB173" s="39"/>
      <c r="AC173" s="39"/>
      <c r="AD173" s="39"/>
      <c r="AE173" s="39"/>
      <c r="AF173" s="39"/>
      <c r="AO173" s="39"/>
      <c r="AP173" s="39"/>
      <c r="AQ173" s="39"/>
      <c r="AR173" s="39"/>
      <c r="AS173" s="39"/>
      <c r="AT173" s="39"/>
      <c r="AU173" s="39"/>
      <c r="AV173" s="39"/>
      <c r="AW173" s="39"/>
      <c r="AX173" s="39"/>
      <c r="AY173" s="39"/>
      <c r="AZ173" s="39"/>
      <c r="BA173" s="39"/>
      <c r="BB173" s="39"/>
      <c r="BC173" s="39"/>
    </row>
    <row r="174" spans="2:55" s="69" customFormat="1" x14ac:dyDescent="0.25">
      <c r="B174" s="39"/>
      <c r="C174" s="39"/>
      <c r="D174" s="39"/>
      <c r="E174" s="39"/>
      <c r="F174" s="81" t="str">
        <f>IF($B174="","",IF(SUMIF(Grades!$A:$A,$B$2,Grades!$BO:$BO)=0,"-",IF(AND(VLOOKUP($B$2,Grades!$A:$BV,74,FALSE)="YES",B174&lt;Thresholds_Rates!$C$16),"-",$C174*Thresholds_Rates!$F$15)))</f>
        <v/>
      </c>
      <c r="G174" s="39"/>
      <c r="H174" s="39"/>
      <c r="I174" s="39"/>
      <c r="J174" s="39"/>
      <c r="K174" s="39"/>
      <c r="L174" s="39"/>
      <c r="M174" s="81" t="str">
        <f t="shared" si="17"/>
        <v/>
      </c>
      <c r="N174" s="81" t="str">
        <f t="shared" si="18"/>
        <v/>
      </c>
      <c r="O174" s="81" t="str">
        <f t="shared" si="19"/>
        <v/>
      </c>
      <c r="P174" s="81" t="str">
        <f t="shared" si="20"/>
        <v/>
      </c>
      <c r="Q174" s="81" t="str">
        <f t="shared" si="21"/>
        <v/>
      </c>
      <c r="R174" s="39"/>
      <c r="S174" s="68"/>
      <c r="T174" s="68"/>
      <c r="U174" s="68"/>
      <c r="V174" s="68"/>
      <c r="Z174" s="39"/>
      <c r="AA174" s="39"/>
      <c r="AB174" s="39"/>
      <c r="AC174" s="39"/>
      <c r="AD174" s="39"/>
      <c r="AE174" s="39"/>
      <c r="AF174" s="39"/>
      <c r="AO174" s="39"/>
      <c r="AP174" s="39"/>
      <c r="AQ174" s="39"/>
      <c r="AR174" s="39"/>
      <c r="AS174" s="39"/>
      <c r="AT174" s="39"/>
      <c r="AU174" s="39"/>
      <c r="AV174" s="39"/>
      <c r="AW174" s="39"/>
      <c r="AX174" s="39"/>
      <c r="AY174" s="39"/>
      <c r="AZ174" s="39"/>
      <c r="BA174" s="39"/>
      <c r="BB174" s="39"/>
      <c r="BC174" s="39"/>
    </row>
    <row r="175" spans="2:55" s="69" customFormat="1" x14ac:dyDescent="0.25">
      <c r="B175" s="39"/>
      <c r="C175" s="39"/>
      <c r="D175" s="39"/>
      <c r="E175" s="39"/>
      <c r="F175" s="81" t="str">
        <f>IF($B175="","",IF(SUMIF(Grades!$A:$A,$B$2,Grades!$BO:$BO)=0,"-",IF(AND(VLOOKUP($B$2,Grades!$A:$BV,74,FALSE)="YES",B175&lt;Thresholds_Rates!$C$16),"-",$C175*Thresholds_Rates!$F$15)))</f>
        <v/>
      </c>
      <c r="G175" s="39"/>
      <c r="H175" s="39"/>
      <c r="I175" s="39"/>
      <c r="J175" s="39"/>
      <c r="K175" s="39"/>
      <c r="L175" s="39"/>
      <c r="M175" s="81" t="str">
        <f t="shared" si="17"/>
        <v/>
      </c>
      <c r="N175" s="81" t="str">
        <f t="shared" si="18"/>
        <v/>
      </c>
      <c r="O175" s="81" t="str">
        <f t="shared" si="19"/>
        <v/>
      </c>
      <c r="P175" s="81" t="str">
        <f t="shared" si="20"/>
        <v/>
      </c>
      <c r="Q175" s="81" t="str">
        <f t="shared" si="21"/>
        <v/>
      </c>
      <c r="R175" s="39"/>
      <c r="S175" s="68"/>
      <c r="T175" s="68"/>
      <c r="U175" s="68"/>
      <c r="V175" s="68"/>
      <c r="Z175" s="39"/>
      <c r="AA175" s="39"/>
      <c r="AB175" s="39"/>
      <c r="AC175" s="39"/>
      <c r="AD175" s="39"/>
      <c r="AE175" s="39"/>
      <c r="AF175" s="39"/>
      <c r="AO175" s="39"/>
      <c r="AP175" s="39"/>
      <c r="AQ175" s="39"/>
      <c r="AR175" s="39"/>
      <c r="AS175" s="39"/>
      <c r="AT175" s="39"/>
      <c r="AU175" s="39"/>
      <c r="AV175" s="39"/>
      <c r="AW175" s="39"/>
      <c r="AX175" s="39"/>
      <c r="AY175" s="39"/>
      <c r="AZ175" s="39"/>
      <c r="BA175" s="39"/>
      <c r="BB175" s="39"/>
      <c r="BC175" s="39"/>
    </row>
    <row r="176" spans="2:55" s="69" customFormat="1" x14ac:dyDescent="0.25">
      <c r="B176" s="39"/>
      <c r="C176" s="39"/>
      <c r="D176" s="39"/>
      <c r="E176" s="39"/>
      <c r="F176" s="81" t="str">
        <f>IF($B176="","",IF(SUMIF(Grades!$A:$A,$B$2,Grades!$BO:$BO)=0,"-",IF(AND(VLOOKUP($B$2,Grades!$A:$BV,74,FALSE)="YES",B176&lt;Thresholds_Rates!$C$16),"-",$C176*Thresholds_Rates!$F$15)))</f>
        <v/>
      </c>
      <c r="G176" s="39"/>
      <c r="H176" s="39"/>
      <c r="I176" s="39"/>
      <c r="J176" s="39"/>
      <c r="K176" s="39"/>
      <c r="L176" s="39"/>
      <c r="M176" s="81" t="str">
        <f t="shared" si="17"/>
        <v/>
      </c>
      <c r="N176" s="81" t="str">
        <f t="shared" si="18"/>
        <v/>
      </c>
      <c r="O176" s="81" t="str">
        <f t="shared" si="19"/>
        <v/>
      </c>
      <c r="P176" s="81" t="str">
        <f t="shared" si="20"/>
        <v/>
      </c>
      <c r="Q176" s="81" t="str">
        <f t="shared" si="21"/>
        <v/>
      </c>
      <c r="R176" s="39"/>
      <c r="S176" s="68"/>
      <c r="T176" s="68"/>
      <c r="U176" s="68"/>
      <c r="V176" s="68"/>
      <c r="Z176" s="39"/>
      <c r="AA176" s="39"/>
      <c r="AB176" s="39"/>
      <c r="AC176" s="39"/>
      <c r="AD176" s="39"/>
      <c r="AE176" s="39"/>
      <c r="AF176" s="39"/>
      <c r="AO176" s="39"/>
      <c r="AP176" s="39"/>
      <c r="AQ176" s="39"/>
      <c r="AR176" s="39"/>
      <c r="AS176" s="39"/>
      <c r="AT176" s="39"/>
      <c r="AU176" s="39"/>
      <c r="AV176" s="39"/>
      <c r="AW176" s="39"/>
      <c r="AX176" s="39"/>
      <c r="AY176" s="39"/>
      <c r="AZ176" s="39"/>
      <c r="BA176" s="39"/>
      <c r="BB176" s="39"/>
      <c r="BC176" s="39"/>
    </row>
    <row r="177" spans="6:17" x14ac:dyDescent="0.25">
      <c r="F177" s="81" t="str">
        <f>IF($B177="","",IF(SUMIF(Grades!$A:$A,$B$2,Grades!$BO:$BO)=0,"-",IF(AND(VLOOKUP($B$2,Grades!$A:$BV,74,FALSE)="YES",B177&lt;Thresholds_Rates!$C$16),"-",$C177*Thresholds_Rates!$F$15)))</f>
        <v/>
      </c>
      <c r="M177" s="81" t="str">
        <f t="shared" si="17"/>
        <v/>
      </c>
      <c r="N177" s="81" t="str">
        <f t="shared" si="18"/>
        <v/>
      </c>
      <c r="O177" s="81" t="str">
        <f t="shared" si="19"/>
        <v/>
      </c>
      <c r="P177" s="81" t="str">
        <f t="shared" si="20"/>
        <v/>
      </c>
      <c r="Q177" s="81" t="str">
        <f t="shared" si="21"/>
        <v/>
      </c>
    </row>
    <row r="178" spans="6:17" x14ac:dyDescent="0.25">
      <c r="F178" s="81" t="str">
        <f>IF($B178="","",IF(SUMIF(Grades!$A:$A,$B$2,Grades!$BO:$BO)=0,"-",IF(AND(VLOOKUP($B$2,Grades!$A:$BV,74,FALSE)="YES",B178&lt;Thresholds_Rates!$C$16),"-",$C178*Thresholds_Rates!$F$15)))</f>
        <v/>
      </c>
      <c r="M178" s="81" t="str">
        <f t="shared" si="17"/>
        <v/>
      </c>
      <c r="N178" s="81" t="str">
        <f t="shared" si="18"/>
        <v/>
      </c>
      <c r="O178" s="81" t="str">
        <f t="shared" si="19"/>
        <v/>
      </c>
      <c r="P178" s="81" t="str">
        <f t="shared" si="20"/>
        <v/>
      </c>
      <c r="Q178" s="81" t="str">
        <f t="shared" si="21"/>
        <v/>
      </c>
    </row>
    <row r="179" spans="6:17" x14ac:dyDescent="0.25">
      <c r="F179" s="81" t="str">
        <f>IF($B179="","",IF(SUMIF(Grades!$A:$A,$B$2,Grades!$BO:$BO)=0,"-",IF(AND(VLOOKUP($B$2,Grades!$A:$BV,74,FALSE)="YES",B179&lt;Thresholds_Rates!$C$16),"-",$C179*Thresholds_Rates!$F$15)))</f>
        <v/>
      </c>
      <c r="M179" s="81" t="str">
        <f t="shared" si="17"/>
        <v/>
      </c>
      <c r="N179" s="81" t="str">
        <f t="shared" si="18"/>
        <v/>
      </c>
      <c r="O179" s="81" t="str">
        <f t="shared" si="19"/>
        <v/>
      </c>
      <c r="P179" s="81" t="str">
        <f t="shared" si="20"/>
        <v/>
      </c>
      <c r="Q179" s="81" t="str">
        <f t="shared" si="21"/>
        <v/>
      </c>
    </row>
    <row r="180" spans="6:17" x14ac:dyDescent="0.25">
      <c r="F180" s="81" t="str">
        <f>IF($B180="","",IF(SUMIF(Grades!$A:$A,$B$2,Grades!$BO:$BO)=0,"-",IF(AND(VLOOKUP($B$2,Grades!$A:$BV,74,FALSE)="YES",B180&lt;Thresholds_Rates!$C$16),"-",$C180*Thresholds_Rates!$F$15)))</f>
        <v/>
      </c>
      <c r="M180" s="81" t="str">
        <f t="shared" si="17"/>
        <v/>
      </c>
      <c r="N180" s="81" t="str">
        <f t="shared" si="18"/>
        <v/>
      </c>
      <c r="O180" s="81" t="str">
        <f t="shared" si="19"/>
        <v/>
      </c>
      <c r="P180" s="81" t="str">
        <f t="shared" si="20"/>
        <v/>
      </c>
      <c r="Q180" s="81" t="str">
        <f t="shared" si="21"/>
        <v/>
      </c>
    </row>
    <row r="181" spans="6:17" x14ac:dyDescent="0.25">
      <c r="F181" s="81" t="str">
        <f>IF($B181="","",IF(SUMIF(Grades!$A:$A,$B$2,Grades!$BO:$BO)=0,"-",IF(AND(VLOOKUP($B$2,Grades!$A:$BV,74,FALSE)="YES",B181&lt;Thresholds_Rates!$C$16),"-",$C181*Thresholds_Rates!$F$15)))</f>
        <v/>
      </c>
      <c r="M181" s="81" t="str">
        <f t="shared" si="17"/>
        <v/>
      </c>
      <c r="N181" s="81" t="str">
        <f t="shared" si="18"/>
        <v/>
      </c>
      <c r="O181" s="81" t="str">
        <f t="shared" si="19"/>
        <v/>
      </c>
      <c r="P181" s="81" t="str">
        <f t="shared" si="20"/>
        <v/>
      </c>
      <c r="Q181" s="81" t="str">
        <f t="shared" si="21"/>
        <v/>
      </c>
    </row>
    <row r="182" spans="6:17" x14ac:dyDescent="0.25">
      <c r="F182" s="81" t="str">
        <f>IF($B182="","",IF(SUMIF(Grades!$A:$A,$B$2,Grades!$BO:$BO)=0,"-",IF(AND(VLOOKUP($B$2,Grades!$A:$BV,74,FALSE)="YES",B182&lt;Thresholds_Rates!$C$16),"-",$C182*Thresholds_Rates!$F$15)))</f>
        <v/>
      </c>
      <c r="M182" s="81" t="str">
        <f t="shared" si="17"/>
        <v/>
      </c>
      <c r="N182" s="81" t="str">
        <f t="shared" si="18"/>
        <v/>
      </c>
      <c r="O182" s="81" t="str">
        <f t="shared" si="19"/>
        <v/>
      </c>
      <c r="P182" s="81" t="str">
        <f t="shared" si="20"/>
        <v/>
      </c>
      <c r="Q182" s="81" t="str">
        <f t="shared" si="21"/>
        <v/>
      </c>
    </row>
    <row r="183" spans="6:17" x14ac:dyDescent="0.25">
      <c r="F183" s="81" t="str">
        <f>IF($B183="","",IF(SUMIF(Grades!$A:$A,$B$2,Grades!$BO:$BO)=0,"-",IF(AND(VLOOKUP($B$2,Grades!$A:$BV,74,FALSE)="YES",B183&lt;Thresholds_Rates!$C$16),"-",$C183*Thresholds_Rates!$F$15)))</f>
        <v/>
      </c>
      <c r="M183" s="81" t="str">
        <f t="shared" si="17"/>
        <v/>
      </c>
      <c r="N183" s="81" t="str">
        <f t="shared" si="18"/>
        <v/>
      </c>
      <c r="O183" s="81" t="str">
        <f t="shared" si="19"/>
        <v/>
      </c>
      <c r="P183" s="81" t="str">
        <f t="shared" si="20"/>
        <v/>
      </c>
      <c r="Q183" s="81" t="str">
        <f t="shared" si="21"/>
        <v/>
      </c>
    </row>
    <row r="184" spans="6:17" x14ac:dyDescent="0.25">
      <c r="F184" s="81" t="str">
        <f>IF($B184="","",IF(SUMIF(Grades!$A:$A,$B$2,Grades!$BO:$BO)=0,"-",IF(AND(VLOOKUP($B$2,Grades!$A:$BV,74,FALSE)="YES",B184&lt;Thresholds_Rates!$C$16),"-",$C184*Thresholds_Rates!$F$15)))</f>
        <v/>
      </c>
      <c r="M184" s="81" t="str">
        <f t="shared" si="17"/>
        <v/>
      </c>
      <c r="N184" s="81" t="str">
        <f t="shared" si="18"/>
        <v/>
      </c>
      <c r="O184" s="81" t="str">
        <f t="shared" si="19"/>
        <v/>
      </c>
      <c r="P184" s="81" t="str">
        <f t="shared" si="20"/>
        <v/>
      </c>
      <c r="Q184" s="81" t="str">
        <f t="shared" si="21"/>
        <v/>
      </c>
    </row>
    <row r="185" spans="6:17" x14ac:dyDescent="0.25">
      <c r="F185" s="81" t="str">
        <f>IF($B185="","",IF(SUMIF(Grades!$A:$A,$B$2,Grades!$BO:$BO)=0,"-",IF(AND(VLOOKUP($B$2,Grades!$A:$BV,74,FALSE)="YES",B185&lt;Thresholds_Rates!$C$16),"-",$C185*Thresholds_Rates!$F$15)))</f>
        <v/>
      </c>
      <c r="M185" s="81" t="str">
        <f t="shared" si="17"/>
        <v/>
      </c>
      <c r="N185" s="81" t="str">
        <f t="shared" si="18"/>
        <v/>
      </c>
      <c r="O185" s="81" t="str">
        <f t="shared" si="19"/>
        <v/>
      </c>
      <c r="P185" s="81" t="str">
        <f t="shared" si="20"/>
        <v/>
      </c>
      <c r="Q185" s="81" t="str">
        <f t="shared" si="21"/>
        <v/>
      </c>
    </row>
    <row r="186" spans="6:17" x14ac:dyDescent="0.25">
      <c r="F186" s="81" t="str">
        <f>IF($B186="","",IF(SUMIF(Grades!$A:$A,$B$2,Grades!$BO:$BO)=0,"-",IF(AND(VLOOKUP($B$2,Grades!$A:$BV,74,FALSE)="YES",B186&lt;Thresholds_Rates!$C$16),"-",$C186*Thresholds_Rates!$F$15)))</f>
        <v/>
      </c>
      <c r="M186" s="81" t="str">
        <f t="shared" si="17"/>
        <v/>
      </c>
      <c r="N186" s="81" t="str">
        <f t="shared" si="18"/>
        <v/>
      </c>
      <c r="O186" s="81" t="str">
        <f t="shared" si="19"/>
        <v/>
      </c>
      <c r="P186" s="81" t="str">
        <f t="shared" si="20"/>
        <v/>
      </c>
      <c r="Q186" s="81" t="str">
        <f t="shared" si="21"/>
        <v/>
      </c>
    </row>
    <row r="187" spans="6:17" x14ac:dyDescent="0.25">
      <c r="F187" s="81" t="str">
        <f>IF($B187="","",IF(SUMIF(Grades!$A:$A,$B$2,Grades!$BO:$BO)=0,"-",IF(AND(VLOOKUP($B$2,Grades!$A:$BV,74,FALSE)="YES",B187&lt;Thresholds_Rates!$C$16),"-",$C187*Thresholds_Rates!$F$15)))</f>
        <v/>
      </c>
      <c r="M187" s="81" t="str">
        <f t="shared" si="17"/>
        <v/>
      </c>
      <c r="N187" s="81" t="str">
        <f t="shared" si="18"/>
        <v/>
      </c>
      <c r="O187" s="81" t="str">
        <f t="shared" si="19"/>
        <v/>
      </c>
      <c r="P187" s="81" t="str">
        <f t="shared" si="20"/>
        <v/>
      </c>
      <c r="Q187" s="81" t="str">
        <f t="shared" si="21"/>
        <v/>
      </c>
    </row>
    <row r="188" spans="6:17" x14ac:dyDescent="0.25">
      <c r="F188" s="81" t="str">
        <f>IF($B188="","",IF(SUMIF(Grades!$A:$A,$B$2,Grades!$BO:$BO)=0,"-",IF(AND(VLOOKUP($B$2,Grades!$A:$BV,74,FALSE)="YES",B188&lt;Thresholds_Rates!$C$16),"-",$C188*Thresholds_Rates!$F$15)))</f>
        <v/>
      </c>
      <c r="M188" s="81" t="str">
        <f t="shared" si="17"/>
        <v/>
      </c>
      <c r="N188" s="81" t="str">
        <f t="shared" si="18"/>
        <v/>
      </c>
      <c r="O188" s="81" t="str">
        <f t="shared" si="19"/>
        <v/>
      </c>
      <c r="P188" s="81" t="str">
        <f t="shared" si="20"/>
        <v/>
      </c>
      <c r="Q188" s="81" t="str">
        <f t="shared" si="21"/>
        <v/>
      </c>
    </row>
    <row r="189" spans="6:17" x14ac:dyDescent="0.25">
      <c r="F189" s="81" t="str">
        <f>IF($B189="","",IF(SUMIF(Grades!$A:$A,$B$2,Grades!$BO:$BO)=0,"-",IF(AND(VLOOKUP($B$2,Grades!$A:$BV,74,FALSE)="YES",B189&lt;Thresholds_Rates!$C$16),"-",$C189*Thresholds_Rates!$F$15)))</f>
        <v/>
      </c>
      <c r="M189" s="81" t="str">
        <f t="shared" si="17"/>
        <v/>
      </c>
      <c r="N189" s="81" t="str">
        <f t="shared" si="18"/>
        <v/>
      </c>
      <c r="O189" s="81" t="str">
        <f t="shared" si="19"/>
        <v/>
      </c>
      <c r="P189" s="81" t="str">
        <f t="shared" si="20"/>
        <v/>
      </c>
      <c r="Q189" s="81" t="str">
        <f t="shared" si="21"/>
        <v/>
      </c>
    </row>
    <row r="190" spans="6:17" x14ac:dyDescent="0.25">
      <c r="F190" s="81" t="str">
        <f>IF($B190="","",IF(SUMIF(Grades!$A:$A,$B$2,Grades!$BO:$BO)=0,"-",IF(AND(VLOOKUP($B$2,Grades!$A:$BV,74,FALSE)="YES",B190&lt;Thresholds_Rates!$C$16),"-",$C190*Thresholds_Rates!$F$15)))</f>
        <v/>
      </c>
      <c r="M190" s="81" t="str">
        <f t="shared" si="17"/>
        <v/>
      </c>
      <c r="N190" s="81" t="str">
        <f t="shared" si="18"/>
        <v/>
      </c>
      <c r="O190" s="81" t="str">
        <f t="shared" si="19"/>
        <v/>
      </c>
      <c r="P190" s="81" t="str">
        <f t="shared" si="20"/>
        <v/>
      </c>
      <c r="Q190" s="81" t="str">
        <f t="shared" si="21"/>
        <v/>
      </c>
    </row>
    <row r="191" spans="6:17" x14ac:dyDescent="0.25">
      <c r="F191" s="81" t="str">
        <f>IF($B191="","",IF(SUMIF(Grades!$A:$A,$B$2,Grades!$BO:$BO)=0,"-",IF(AND(VLOOKUP($B$2,Grades!$A:$BV,74,FALSE)="YES",B191&lt;Thresholds_Rates!$C$16),"-",$C191*Thresholds_Rates!$F$15)))</f>
        <v/>
      </c>
      <c r="M191" s="81" t="str">
        <f t="shared" si="17"/>
        <v/>
      </c>
      <c r="N191" s="81" t="str">
        <f t="shared" si="18"/>
        <v/>
      </c>
      <c r="O191" s="81" t="str">
        <f t="shared" si="19"/>
        <v/>
      </c>
      <c r="P191" s="81" t="str">
        <f t="shared" si="20"/>
        <v/>
      </c>
      <c r="Q191" s="81" t="str">
        <f t="shared" si="21"/>
        <v/>
      </c>
    </row>
    <row r="192" spans="6:17" x14ac:dyDescent="0.25">
      <c r="F192" s="81" t="str">
        <f>IF($B192="","",IF(SUMIF(Grades!$A:$A,$B$2,Grades!$BO:$BO)=0,"-",IF(AND(VLOOKUP($B$2,Grades!$A:$BV,74,FALSE)="YES",B192&lt;Thresholds_Rates!$C$16),"-",$C192*Thresholds_Rates!$F$15)))</f>
        <v/>
      </c>
      <c r="M192" s="81" t="str">
        <f t="shared" si="17"/>
        <v/>
      </c>
      <c r="N192" s="81" t="str">
        <f t="shared" si="18"/>
        <v/>
      </c>
      <c r="O192" s="81" t="str">
        <f t="shared" si="19"/>
        <v/>
      </c>
      <c r="P192" s="81" t="str">
        <f t="shared" si="20"/>
        <v/>
      </c>
      <c r="Q192" s="81" t="str">
        <f t="shared" si="21"/>
        <v/>
      </c>
    </row>
    <row r="193" spans="6:17" x14ac:dyDescent="0.25">
      <c r="F193" s="81" t="str">
        <f>IF($B193="","",IF(SUMIF(Grades!$A:$A,$B$2,Grades!$BO:$BO)=0,"-",IF(AND(VLOOKUP($B$2,Grades!$A:$BV,74,FALSE)="YES",B193&lt;Thresholds_Rates!$C$16),"-",$C193*Thresholds_Rates!$F$15)))</f>
        <v/>
      </c>
      <c r="M193" s="81" t="str">
        <f t="shared" si="17"/>
        <v/>
      </c>
      <c r="N193" s="81" t="str">
        <f t="shared" si="18"/>
        <v/>
      </c>
      <c r="O193" s="81" t="str">
        <f t="shared" si="19"/>
        <v/>
      </c>
      <c r="P193" s="81" t="str">
        <f t="shared" si="20"/>
        <v/>
      </c>
      <c r="Q193" s="81" t="str">
        <f t="shared" si="21"/>
        <v/>
      </c>
    </row>
    <row r="194" spans="6:17" x14ac:dyDescent="0.25">
      <c r="F194" s="81" t="str">
        <f>IF($B194="","",IF(SUMIF(Grades!$A:$A,$B$2,Grades!$BO:$BO)=0,"-",IF(AND(VLOOKUP($B$2,Grades!$A:$BV,74,FALSE)="YES",B194&lt;Thresholds_Rates!$C$16),"-",$C194*Thresholds_Rates!$F$15)))</f>
        <v/>
      </c>
      <c r="M194" s="81" t="str">
        <f t="shared" si="17"/>
        <v/>
      </c>
      <c r="N194" s="81" t="str">
        <f t="shared" si="18"/>
        <v/>
      </c>
      <c r="O194" s="81" t="str">
        <f t="shared" si="19"/>
        <v/>
      </c>
      <c r="P194" s="81" t="str">
        <f t="shared" si="20"/>
        <v/>
      </c>
      <c r="Q194" s="81" t="str">
        <f t="shared" si="21"/>
        <v/>
      </c>
    </row>
    <row r="195" spans="6:17" x14ac:dyDescent="0.25">
      <c r="F195" s="81" t="str">
        <f>IF($B195="","",IF(SUMIF(Grades!$A:$A,$B$2,Grades!$BO:$BO)=0,"-",IF(AND(VLOOKUP($B$2,Grades!$A:$BV,74,FALSE)="YES",B195&lt;Thresholds_Rates!$C$16),"-",$C195*Thresholds_Rates!$F$15)))</f>
        <v/>
      </c>
      <c r="M195" s="81" t="str">
        <f t="shared" si="17"/>
        <v/>
      </c>
      <c r="N195" s="81" t="str">
        <f t="shared" si="18"/>
        <v/>
      </c>
      <c r="O195" s="81" t="str">
        <f t="shared" si="19"/>
        <v/>
      </c>
      <c r="P195" s="81" t="str">
        <f t="shared" si="20"/>
        <v/>
      </c>
      <c r="Q195" s="81" t="str">
        <f t="shared" si="21"/>
        <v/>
      </c>
    </row>
    <row r="196" spans="6:17" x14ac:dyDescent="0.25">
      <c r="F196" s="81" t="str">
        <f>IF($B196="","",IF(SUMIF(Grades!$A:$A,$B$2,Grades!$BO:$BO)=0,"-",IF(AND(VLOOKUP($B$2,Grades!$A:$BV,74,FALSE)="YES",B196&lt;Thresholds_Rates!$C$16),"-",$C196*Thresholds_Rates!$F$15)))</f>
        <v/>
      </c>
      <c r="M196" s="81" t="str">
        <f t="shared" si="17"/>
        <v/>
      </c>
      <c r="N196" s="81" t="str">
        <f t="shared" si="18"/>
        <v/>
      </c>
      <c r="O196" s="81" t="str">
        <f t="shared" si="19"/>
        <v/>
      </c>
      <c r="P196" s="81" t="str">
        <f t="shared" si="20"/>
        <v/>
      </c>
      <c r="Q196" s="81" t="str">
        <f t="shared" si="21"/>
        <v/>
      </c>
    </row>
    <row r="197" spans="6:17" x14ac:dyDescent="0.25">
      <c r="F197" s="81" t="str">
        <f>IF($B197="","",IF(SUMIF(Grades!$A:$A,$B$2,Grades!$BO:$BO)=0,"-",IF(AND(VLOOKUP($B$2,Grades!$A:$BV,74,FALSE)="YES",B197&lt;Thresholds_Rates!$C$16),"-",$C197*Thresholds_Rates!$F$15)))</f>
        <v/>
      </c>
      <c r="M197" s="81" t="str">
        <f t="shared" si="17"/>
        <v/>
      </c>
      <c r="N197" s="81" t="str">
        <f t="shared" si="18"/>
        <v/>
      </c>
      <c r="O197" s="81" t="str">
        <f t="shared" si="19"/>
        <v/>
      </c>
      <c r="P197" s="81" t="str">
        <f t="shared" si="20"/>
        <v/>
      </c>
      <c r="Q197" s="81" t="str">
        <f t="shared" si="21"/>
        <v/>
      </c>
    </row>
    <row r="198" spans="6:17" x14ac:dyDescent="0.25">
      <c r="F198" s="81" t="str">
        <f>IF($B198="","",IF(SUMIF(Grades!$A:$A,$B$2,Grades!$BO:$BO)=0,"-",IF(AND(VLOOKUP($B$2,Grades!$A:$BV,74,FALSE)="YES",B198&lt;Thresholds_Rates!$C$16),"-",$C198*Thresholds_Rates!$F$15)))</f>
        <v/>
      </c>
      <c r="M198" s="81" t="str">
        <f t="shared" si="17"/>
        <v/>
      </c>
      <c r="N198" s="81" t="str">
        <f t="shared" si="18"/>
        <v/>
      </c>
      <c r="O198" s="81" t="str">
        <f t="shared" si="19"/>
        <v/>
      </c>
      <c r="P198" s="81" t="str">
        <f t="shared" si="20"/>
        <v/>
      </c>
      <c r="Q198" s="81" t="str">
        <f t="shared" si="21"/>
        <v/>
      </c>
    </row>
    <row r="199" spans="6:17" x14ac:dyDescent="0.25">
      <c r="F199" s="81" t="str">
        <f>IF($B199="","",IF(SUMIF(Grades!$A:$A,$B$2,Grades!$BO:$BO)=0,"-",IF(AND(VLOOKUP($B$2,Grades!$A:$BV,74,FALSE)="YES",B199&lt;Thresholds_Rates!$C$16),"-",$C199*Thresholds_Rates!$F$15)))</f>
        <v/>
      </c>
      <c r="M199" s="81" t="str">
        <f t="shared" si="17"/>
        <v/>
      </c>
      <c r="N199" s="81" t="str">
        <f t="shared" si="18"/>
        <v/>
      </c>
      <c r="O199" s="81" t="str">
        <f t="shared" si="19"/>
        <v/>
      </c>
      <c r="P199" s="81" t="str">
        <f t="shared" si="20"/>
        <v/>
      </c>
      <c r="Q199" s="81" t="str">
        <f t="shared" si="21"/>
        <v/>
      </c>
    </row>
    <row r="200" spans="6:17" x14ac:dyDescent="0.25">
      <c r="F200" s="81" t="str">
        <f>IF($B200="","",IF(SUMIF(Grades!$A:$A,$B$2,Grades!$BO:$BO)=0,"-",IF(AND(VLOOKUP($B$2,Grades!$A:$BV,74,FALSE)="YES",B200&lt;Thresholds_Rates!$C$16),"-",$C200*Thresholds_Rates!$F$15)))</f>
        <v/>
      </c>
      <c r="M200" s="81" t="str">
        <f t="shared" si="17"/>
        <v/>
      </c>
      <c r="N200" s="81" t="str">
        <f t="shared" si="18"/>
        <v/>
      </c>
      <c r="O200" s="81" t="str">
        <f t="shared" si="19"/>
        <v/>
      </c>
      <c r="P200" s="81" t="str">
        <f t="shared" si="20"/>
        <v/>
      </c>
      <c r="Q200" s="81" t="str">
        <f t="shared" si="21"/>
        <v/>
      </c>
    </row>
    <row r="201" spans="6:17" x14ac:dyDescent="0.25">
      <c r="F201" s="81" t="str">
        <f>IF($B201="","",IF(SUMIF(Grades!$A:$A,$B$2,Grades!$BO:$BO)=0,"-",IF(AND(VLOOKUP($B$2,Grades!$A:$BV,74,FALSE)="YES",B201&lt;Thresholds_Rates!$C$16),"-",$C201*Thresholds_Rates!$F$15)))</f>
        <v/>
      </c>
      <c r="M201" s="81" t="str">
        <f t="shared" si="17"/>
        <v/>
      </c>
      <c r="N201" s="81" t="str">
        <f t="shared" si="18"/>
        <v/>
      </c>
      <c r="O201" s="81" t="str">
        <f t="shared" si="19"/>
        <v/>
      </c>
      <c r="P201" s="81" t="str">
        <f t="shared" si="20"/>
        <v/>
      </c>
      <c r="Q201" s="81" t="str">
        <f t="shared" si="21"/>
        <v/>
      </c>
    </row>
    <row r="202" spans="6:17" x14ac:dyDescent="0.25">
      <c r="F202" s="81" t="str">
        <f>IF($B202="","",IF(SUMIF(Grades!$A:$A,$B$2,Grades!$BO:$BO)=0,"-",IF(AND(VLOOKUP($B$2,Grades!$A:$BV,74,FALSE)="YES",B202&lt;Thresholds_Rates!$C$16),"-",$C202*Thresholds_Rates!$F$15)))</f>
        <v/>
      </c>
      <c r="M202" s="81" t="str">
        <f t="shared" si="17"/>
        <v/>
      </c>
      <c r="N202" s="81" t="str">
        <f t="shared" si="18"/>
        <v/>
      </c>
      <c r="O202" s="81" t="str">
        <f t="shared" si="19"/>
        <v/>
      </c>
      <c r="P202" s="81" t="str">
        <f t="shared" si="20"/>
        <v/>
      </c>
      <c r="Q202" s="81" t="str">
        <f t="shared" si="21"/>
        <v/>
      </c>
    </row>
    <row r="203" spans="6:17" x14ac:dyDescent="0.25">
      <c r="F203" s="81" t="str">
        <f>IF($B203="","",IF(SUMIF(Grades!$A:$A,$B$2,Grades!$BO:$BO)=0,"-",IF(AND(VLOOKUP($B$2,Grades!$A:$BV,74,FALSE)="YES",B203&lt;Thresholds_Rates!$C$16),"-",$C203*Thresholds_Rates!$F$15)))</f>
        <v/>
      </c>
      <c r="M203" s="81" t="str">
        <f t="shared" si="17"/>
        <v/>
      </c>
      <c r="N203" s="81" t="str">
        <f t="shared" si="18"/>
        <v/>
      </c>
      <c r="O203" s="81" t="str">
        <f t="shared" si="19"/>
        <v/>
      </c>
      <c r="P203" s="81" t="str">
        <f t="shared" si="20"/>
        <v/>
      </c>
      <c r="Q203" s="81" t="str">
        <f t="shared" si="21"/>
        <v/>
      </c>
    </row>
    <row r="204" spans="6:17" x14ac:dyDescent="0.25">
      <c r="F204" s="81" t="str">
        <f>IF($B204="","",IF(SUMIF(Grades!$A:$A,$B$2,Grades!$BO:$BO)=0,"-",IF(AND(VLOOKUP($B$2,Grades!$A:$BV,74,FALSE)="YES",B204&lt;Thresholds_Rates!$C$16),"-",$C204*Thresholds_Rates!$F$15)))</f>
        <v/>
      </c>
      <c r="M204" s="81" t="str">
        <f t="shared" si="17"/>
        <v/>
      </c>
      <c r="N204" s="81" t="str">
        <f t="shared" si="18"/>
        <v/>
      </c>
      <c r="O204" s="81" t="str">
        <f t="shared" si="19"/>
        <v/>
      </c>
      <c r="P204" s="81" t="str">
        <f t="shared" si="20"/>
        <v/>
      </c>
      <c r="Q204" s="81" t="str">
        <f t="shared" si="21"/>
        <v/>
      </c>
    </row>
    <row r="205" spans="6:17" x14ac:dyDescent="0.25">
      <c r="F205" s="81" t="str">
        <f>IF($B205="","",IF(SUMIF(Grades!$A:$A,$B$2,Grades!$BO:$BO)=0,"-",IF(AND(VLOOKUP($B$2,Grades!$A:$BV,74,FALSE)="YES",B205&lt;Thresholds_Rates!$C$16),"-",$C205*Thresholds_Rates!$F$15)))</f>
        <v/>
      </c>
      <c r="M205" s="81" t="str">
        <f t="shared" si="17"/>
        <v/>
      </c>
      <c r="N205" s="81" t="str">
        <f t="shared" si="18"/>
        <v/>
      </c>
      <c r="O205" s="81" t="str">
        <f t="shared" si="19"/>
        <v/>
      </c>
      <c r="P205" s="81" t="str">
        <f t="shared" si="20"/>
        <v/>
      </c>
      <c r="Q205" s="81" t="str">
        <f t="shared" si="21"/>
        <v/>
      </c>
    </row>
    <row r="206" spans="6:17" x14ac:dyDescent="0.25">
      <c r="F206" s="81" t="str">
        <f>IF($B206="","",IF(SUMIF(Grades!$A:$A,$B$2,Grades!$BO:$BO)=0,"-",IF(AND(VLOOKUP($B$2,Grades!$A:$BV,74,FALSE)="YES",B206&lt;Thresholds_Rates!$C$16),"-",$C206*Thresholds_Rates!$F$15)))</f>
        <v/>
      </c>
      <c r="M206" s="81" t="str">
        <f t="shared" si="17"/>
        <v/>
      </c>
      <c r="N206" s="81" t="str">
        <f t="shared" si="18"/>
        <v/>
      </c>
      <c r="O206" s="81" t="str">
        <f t="shared" si="19"/>
        <v/>
      </c>
      <c r="P206" s="81" t="str">
        <f t="shared" si="20"/>
        <v/>
      </c>
      <c r="Q206" s="81" t="str">
        <f t="shared" si="21"/>
        <v/>
      </c>
    </row>
    <row r="207" spans="6:17" x14ac:dyDescent="0.25">
      <c r="F207" s="81" t="str">
        <f>IF($B207="","",IF(SUMIF(Grades!$A:$A,$B$2,Grades!$BO:$BO)=0,"-",IF(AND(VLOOKUP($B$2,Grades!$A:$BV,74,FALSE)="YES",B207&lt;Thresholds_Rates!$C$16),"-",$C207*Thresholds_Rates!$F$15)))</f>
        <v/>
      </c>
      <c r="M207" s="81" t="str">
        <f t="shared" si="17"/>
        <v/>
      </c>
      <c r="N207" s="81" t="str">
        <f t="shared" si="18"/>
        <v/>
      </c>
      <c r="O207" s="81" t="str">
        <f t="shared" si="19"/>
        <v/>
      </c>
      <c r="P207" s="81" t="str">
        <f t="shared" si="20"/>
        <v/>
      </c>
      <c r="Q207" s="81" t="str">
        <f t="shared" si="21"/>
        <v/>
      </c>
    </row>
    <row r="208" spans="6:17" x14ac:dyDescent="0.25">
      <c r="F208" s="81" t="str">
        <f>IF($B208="","",IF(SUMIF(Grades!$A:$A,$B$2,Grades!$BO:$BO)=0,"-",IF(AND(VLOOKUP($B$2,Grades!$A:$BV,74,FALSE)="YES",B208&lt;Thresholds_Rates!$C$16),"-",$C208*Thresholds_Rates!$F$15)))</f>
        <v/>
      </c>
      <c r="M208" s="81" t="str">
        <f t="shared" si="17"/>
        <v/>
      </c>
      <c r="N208" s="81" t="str">
        <f t="shared" si="18"/>
        <v/>
      </c>
      <c r="O208" s="81" t="str">
        <f t="shared" si="19"/>
        <v/>
      </c>
      <c r="P208" s="81" t="str">
        <f t="shared" si="20"/>
        <v/>
      </c>
      <c r="Q208" s="81" t="str">
        <f t="shared" si="21"/>
        <v/>
      </c>
    </row>
    <row r="209" spans="6:17" x14ac:dyDescent="0.25">
      <c r="F209" s="81" t="str">
        <f>IF($B209="","",IF(SUMIF(Grades!$A:$A,$B$2,Grades!$BO:$BO)=0,"-",IF(AND(VLOOKUP($B$2,Grades!$A:$BV,74,FALSE)="YES",B209&lt;Thresholds_Rates!$C$16),"-",$C209*Thresholds_Rates!$F$15)))</f>
        <v/>
      </c>
      <c r="M209" s="81" t="str">
        <f t="shared" si="17"/>
        <v/>
      </c>
      <c r="N209" s="81" t="str">
        <f t="shared" si="18"/>
        <v/>
      </c>
      <c r="O209" s="81" t="str">
        <f t="shared" si="19"/>
        <v/>
      </c>
      <c r="P209" s="81" t="str">
        <f t="shared" si="20"/>
        <v/>
      </c>
      <c r="Q209" s="81" t="str">
        <f t="shared" si="21"/>
        <v/>
      </c>
    </row>
    <row r="210" spans="6:17" x14ac:dyDescent="0.25">
      <c r="F210" s="81" t="str">
        <f>IF($B210="","",IF(SUMIF(Grades!$A:$A,$B$2,Grades!$BO:$BO)=0,"-",IF(AND(VLOOKUP($B$2,Grades!$A:$BV,74,FALSE)="YES",B210&lt;Thresholds_Rates!$C$16),"-",$C210*Thresholds_Rates!$F$15)))</f>
        <v/>
      </c>
      <c r="M210" s="81" t="str">
        <f t="shared" si="17"/>
        <v/>
      </c>
      <c r="N210" s="81" t="str">
        <f t="shared" si="18"/>
        <v/>
      </c>
      <c r="O210" s="81" t="str">
        <f t="shared" si="19"/>
        <v/>
      </c>
      <c r="P210" s="81" t="str">
        <f t="shared" si="20"/>
        <v/>
      </c>
      <c r="Q210" s="81" t="str">
        <f t="shared" si="21"/>
        <v/>
      </c>
    </row>
    <row r="211" spans="6:17" x14ac:dyDescent="0.25">
      <c r="F211" s="81" t="str">
        <f>IF($B211="","",IF(SUMIF(Grades!$A:$A,$B$2,Grades!$BO:$BO)=0,"-",IF(AND(VLOOKUP($B$2,Grades!$A:$BV,74,FALSE)="YES",B211&lt;Thresholds_Rates!$C$16),"-",$C211*Thresholds_Rates!$F$15)))</f>
        <v/>
      </c>
      <c r="M211" s="81" t="str">
        <f t="shared" si="17"/>
        <v/>
      </c>
      <c r="N211" s="81" t="str">
        <f t="shared" si="18"/>
        <v/>
      </c>
      <c r="O211" s="81" t="str">
        <f t="shared" si="19"/>
        <v/>
      </c>
      <c r="P211" s="81" t="str">
        <f t="shared" si="20"/>
        <v/>
      </c>
      <c r="Q211" s="81" t="str">
        <f t="shared" si="21"/>
        <v/>
      </c>
    </row>
    <row r="212" spans="6:17" x14ac:dyDescent="0.25">
      <c r="F212" s="81" t="str">
        <f>IF($B212="","",IF(SUMIF(Grades!$A:$A,$B$2,Grades!$BO:$BO)=0,"-",IF(AND(VLOOKUP($B$2,Grades!$A:$BV,74,FALSE)="YES",B212&lt;Thresholds_Rates!$C$16),"-",$C212*Thresholds_Rates!$F$15)))</f>
        <v/>
      </c>
      <c r="M212" s="81" t="str">
        <f t="shared" si="17"/>
        <v/>
      </c>
      <c r="N212" s="81" t="str">
        <f t="shared" si="18"/>
        <v/>
      </c>
      <c r="O212" s="81" t="str">
        <f t="shared" si="19"/>
        <v/>
      </c>
      <c r="P212" s="81" t="str">
        <f t="shared" si="20"/>
        <v/>
      </c>
      <c r="Q212" s="81" t="str">
        <f t="shared" si="21"/>
        <v/>
      </c>
    </row>
    <row r="213" spans="6:17" x14ac:dyDescent="0.25">
      <c r="F213" s="81" t="str">
        <f>IF($B213="","",IF(SUMIF(Grades!$A:$A,$B$2,Grades!$BO:$BO)=0,"-",IF(AND(VLOOKUP($B$2,Grades!$A:$BV,74,FALSE)="YES",B213&lt;Thresholds_Rates!$C$16),"-",$C213*Thresholds_Rates!$F$15)))</f>
        <v/>
      </c>
      <c r="M213" s="81" t="str">
        <f t="shared" si="17"/>
        <v/>
      </c>
      <c r="N213" s="81" t="str">
        <f t="shared" si="18"/>
        <v/>
      </c>
      <c r="O213" s="81" t="str">
        <f t="shared" si="19"/>
        <v/>
      </c>
      <c r="P213" s="81" t="str">
        <f t="shared" si="20"/>
        <v/>
      </c>
      <c r="Q213" s="81" t="str">
        <f t="shared" si="21"/>
        <v/>
      </c>
    </row>
    <row r="214" spans="6:17" x14ac:dyDescent="0.25">
      <c r="F214" s="81" t="str">
        <f>IF($B214="","",IF(SUMIF(Grades!$A:$A,$B$2,Grades!$BO:$BO)=0,"-",IF(AND(VLOOKUP($B$2,Grades!$A:$BV,74,FALSE)="YES",B214&lt;Thresholds_Rates!$C$16),"-",$C214*Thresholds_Rates!$F$15)))</f>
        <v/>
      </c>
      <c r="M214" s="81" t="str">
        <f t="shared" si="17"/>
        <v/>
      </c>
      <c r="N214" s="81" t="str">
        <f t="shared" si="18"/>
        <v/>
      </c>
      <c r="O214" s="81" t="str">
        <f t="shared" si="19"/>
        <v/>
      </c>
      <c r="P214" s="81" t="str">
        <f t="shared" si="20"/>
        <v/>
      </c>
      <c r="Q214" s="81" t="str">
        <f t="shared" si="21"/>
        <v/>
      </c>
    </row>
    <row r="215" spans="6:17" x14ac:dyDescent="0.25">
      <c r="F215" s="81" t="str">
        <f>IF($B215="","",IF(SUMIF(Grades!$A:$A,$B$2,Grades!$BO:$BO)=0,"-",IF(AND(VLOOKUP($B$2,Grades!$A:$BV,74,FALSE)="YES",B215&lt;Thresholds_Rates!$C$16),"-",$C215*Thresholds_Rates!$F$15)))</f>
        <v/>
      </c>
      <c r="M215" s="81" t="str">
        <f t="shared" si="17"/>
        <v/>
      </c>
      <c r="N215" s="81" t="str">
        <f t="shared" si="18"/>
        <v/>
      </c>
      <c r="O215" s="81" t="str">
        <f t="shared" si="19"/>
        <v/>
      </c>
      <c r="P215" s="81" t="str">
        <f t="shared" si="20"/>
        <v/>
      </c>
      <c r="Q215" s="81" t="str">
        <f t="shared" si="21"/>
        <v/>
      </c>
    </row>
    <row r="216" spans="6:17" x14ac:dyDescent="0.25">
      <c r="F216" s="81" t="str">
        <f>IF($B216="","",IF(SUMIF(Grades!$A:$A,$B$2,Grades!$BO:$BO)=0,"-",IF(AND(VLOOKUP($B$2,Grades!$A:$BV,74,FALSE)="YES",B216&lt;Thresholds_Rates!$C$16),"-",$C216*Thresholds_Rates!$F$15)))</f>
        <v/>
      </c>
      <c r="M216" s="81" t="str">
        <f t="shared" si="17"/>
        <v/>
      </c>
      <c r="N216" s="81" t="str">
        <f t="shared" si="18"/>
        <v/>
      </c>
      <c r="O216" s="81" t="str">
        <f t="shared" si="19"/>
        <v/>
      </c>
      <c r="P216" s="81" t="str">
        <f t="shared" si="20"/>
        <v/>
      </c>
      <c r="Q216" s="81" t="str">
        <f t="shared" si="21"/>
        <v/>
      </c>
    </row>
    <row r="217" spans="6:17" x14ac:dyDescent="0.25">
      <c r="F217" s="81" t="str">
        <f>IF($B217="","",IF(SUMIF(Grades!$A:$A,$B$2,Grades!$BO:$BO)=0,"-",IF(AND(VLOOKUP($B$2,Grades!$A:$BV,74,FALSE)="YES",B217&lt;Thresholds_Rates!$C$16),"-",$C217*Thresholds_Rates!$F$15)))</f>
        <v/>
      </c>
      <c r="M217" s="81" t="str">
        <f t="shared" si="17"/>
        <v/>
      </c>
      <c r="N217" s="81" t="str">
        <f t="shared" si="18"/>
        <v/>
      </c>
      <c r="O217" s="81" t="str">
        <f t="shared" si="19"/>
        <v/>
      </c>
      <c r="P217" s="81" t="str">
        <f t="shared" si="20"/>
        <v/>
      </c>
      <c r="Q217" s="81" t="str">
        <f t="shared" si="21"/>
        <v/>
      </c>
    </row>
    <row r="218" spans="6:17" x14ac:dyDescent="0.25">
      <c r="F218" s="81" t="str">
        <f>IF($B218="","",IF(SUMIF(Grades!$A:$A,$B$2,Grades!$BO:$BO)=0,"-",IF(AND(VLOOKUP($B$2,Grades!$A:$BV,74,FALSE)="YES",B218&lt;Thresholds_Rates!$C$16),"-",$C218*Thresholds_Rates!$F$15)))</f>
        <v/>
      </c>
      <c r="M218" s="81" t="str">
        <f t="shared" si="17"/>
        <v/>
      </c>
      <c r="N218" s="81" t="str">
        <f t="shared" si="18"/>
        <v/>
      </c>
      <c r="O218" s="81" t="str">
        <f t="shared" si="19"/>
        <v/>
      </c>
      <c r="P218" s="81" t="str">
        <f t="shared" si="20"/>
        <v/>
      </c>
      <c r="Q218" s="81" t="str">
        <f t="shared" si="21"/>
        <v/>
      </c>
    </row>
    <row r="219" spans="6:17" x14ac:dyDescent="0.25">
      <c r="F219" s="81" t="str">
        <f>IF($B219="","",IF(SUMIF(Grades!$A:$A,$B$2,Grades!$BO:$BO)=0,"-",IF(AND(VLOOKUP($B$2,Grades!$A:$BV,74,FALSE)="YES",B219&lt;Thresholds_Rates!$C$16),"-",$C219*Thresholds_Rates!$F$15)))</f>
        <v/>
      </c>
      <c r="M219" s="81" t="str">
        <f t="shared" si="17"/>
        <v/>
      </c>
      <c r="N219" s="81" t="str">
        <f t="shared" si="18"/>
        <v/>
      </c>
      <c r="O219" s="81" t="str">
        <f t="shared" si="19"/>
        <v/>
      </c>
      <c r="P219" s="81" t="str">
        <f t="shared" si="20"/>
        <v/>
      </c>
      <c r="Q219" s="81" t="str">
        <f t="shared" si="21"/>
        <v/>
      </c>
    </row>
    <row r="220" spans="6:17" x14ac:dyDescent="0.25">
      <c r="F220" s="81" t="str">
        <f>IF($B220="","",IF(SUMIF(Grades!$A:$A,$B$2,Grades!$BO:$BO)=0,"-",IF(AND(VLOOKUP($B$2,Grades!$A:$BV,74,FALSE)="YES",B220&lt;Thresholds_Rates!$C$16),"-",$C220*Thresholds_Rates!$F$15)))</f>
        <v/>
      </c>
      <c r="M220" s="81" t="str">
        <f t="shared" si="17"/>
        <v/>
      </c>
      <c r="N220" s="81" t="str">
        <f t="shared" si="18"/>
        <v/>
      </c>
      <c r="O220" s="81" t="str">
        <f t="shared" si="19"/>
        <v/>
      </c>
      <c r="P220" s="81" t="str">
        <f t="shared" si="20"/>
        <v/>
      </c>
      <c r="Q220" s="81" t="str">
        <f t="shared" si="21"/>
        <v/>
      </c>
    </row>
    <row r="221" spans="6:17" x14ac:dyDescent="0.25">
      <c r="F221" s="81" t="str">
        <f>IF($B221="","",IF(SUMIF(Grades!$A:$A,$B$2,Grades!$BO:$BO)=0,"-",IF(AND(VLOOKUP($B$2,Grades!$A:$BV,74,FALSE)="YES",B221&lt;Thresholds_Rates!$C$16),"-",$C221*Thresholds_Rates!$F$15)))</f>
        <v/>
      </c>
      <c r="M221" s="81" t="str">
        <f t="shared" si="17"/>
        <v/>
      </c>
      <c r="N221" s="81" t="str">
        <f t="shared" si="18"/>
        <v/>
      </c>
      <c r="O221" s="81" t="str">
        <f t="shared" si="19"/>
        <v/>
      </c>
      <c r="P221" s="81" t="str">
        <f t="shared" si="20"/>
        <v/>
      </c>
      <c r="Q221" s="81" t="str">
        <f t="shared" si="21"/>
        <v/>
      </c>
    </row>
    <row r="222" spans="6:17" x14ac:dyDescent="0.25">
      <c r="F222" s="81" t="str">
        <f>IF($B222="","",IF(SUMIF(Grades!$A:$A,$B$2,Grades!$BO:$BO)=0,"-",IF(AND(VLOOKUP($B$2,Grades!$A:$BV,74,FALSE)="YES",B222&lt;Thresholds_Rates!$C$16),"-",$C222*Thresholds_Rates!$F$15)))</f>
        <v/>
      </c>
      <c r="M222" s="81" t="str">
        <f t="shared" si="17"/>
        <v/>
      </c>
      <c r="N222" s="81" t="str">
        <f t="shared" si="18"/>
        <v/>
      </c>
      <c r="O222" s="81" t="str">
        <f t="shared" si="19"/>
        <v/>
      </c>
      <c r="P222" s="81" t="str">
        <f t="shared" si="20"/>
        <v/>
      </c>
      <c r="Q222" s="81" t="str">
        <f t="shared" si="21"/>
        <v/>
      </c>
    </row>
    <row r="223" spans="6:17" x14ac:dyDescent="0.25">
      <c r="F223" s="81" t="str">
        <f>IF($B223="","",IF(SUMIF(Grades!$A:$A,$B$2,Grades!$BO:$BO)=0,"-",IF(AND(VLOOKUP($B$2,Grades!$A:$BV,74,FALSE)="YES",B223&lt;Thresholds_Rates!$C$16),"-",$C223*Thresholds_Rates!$F$15)))</f>
        <v/>
      </c>
      <c r="M223" s="81" t="str">
        <f t="shared" si="17"/>
        <v/>
      </c>
      <c r="N223" s="81" t="str">
        <f t="shared" si="18"/>
        <v/>
      </c>
      <c r="O223" s="81" t="str">
        <f t="shared" si="19"/>
        <v/>
      </c>
      <c r="P223" s="81" t="str">
        <f t="shared" si="20"/>
        <v/>
      </c>
      <c r="Q223" s="81" t="str">
        <f t="shared" si="21"/>
        <v/>
      </c>
    </row>
    <row r="224" spans="6:17" x14ac:dyDescent="0.25">
      <c r="F224" s="81" t="str">
        <f>IF($B224="","",IF(SUMIF(Grades!$A:$A,$B$2,Grades!$BO:$BO)=0,"-",IF(AND(VLOOKUP($B$2,Grades!$A:$BV,74,FALSE)="YES",B224&lt;Thresholds_Rates!$C$16),"-",$C224*Thresholds_Rates!$F$15)))</f>
        <v/>
      </c>
      <c r="M224" s="81" t="str">
        <f t="shared" si="17"/>
        <v/>
      </c>
      <c r="N224" s="81" t="str">
        <f t="shared" si="18"/>
        <v/>
      </c>
      <c r="O224" s="81" t="str">
        <f t="shared" si="19"/>
        <v/>
      </c>
      <c r="P224" s="81" t="str">
        <f t="shared" si="20"/>
        <v/>
      </c>
      <c r="Q224" s="81" t="str">
        <f t="shared" si="21"/>
        <v/>
      </c>
    </row>
    <row r="225" spans="6:17" x14ac:dyDescent="0.25">
      <c r="F225" s="81" t="str">
        <f>IF($B225="","",IF(SUMIF(Grades!$A:$A,$B$2,Grades!$BO:$BO)=0,"-",IF(AND(VLOOKUP($B$2,Grades!$A:$BV,74,FALSE)="YES",B225&lt;Thresholds_Rates!$C$16),"-",$C225*Thresholds_Rates!$F$15)))</f>
        <v/>
      </c>
      <c r="M225" s="81" t="str">
        <f t="shared" si="17"/>
        <v/>
      </c>
      <c r="N225" s="81" t="str">
        <f t="shared" si="18"/>
        <v/>
      </c>
      <c r="O225" s="81" t="str">
        <f t="shared" si="19"/>
        <v/>
      </c>
      <c r="P225" s="81" t="str">
        <f t="shared" si="20"/>
        <v/>
      </c>
      <c r="Q225" s="81" t="str">
        <f t="shared" si="21"/>
        <v/>
      </c>
    </row>
    <row r="226" spans="6:17" x14ac:dyDescent="0.25">
      <c r="F226" s="81" t="str">
        <f>IF($B226="","",IF(SUMIF(Grades!$A:$A,$B$2,Grades!$BO:$BO)=0,"-",IF(AND(VLOOKUP($B$2,Grades!$A:$BV,74,FALSE)="YES",B226&lt;Thresholds_Rates!$C$16),"-",$C226*Thresholds_Rates!$F$15)))</f>
        <v/>
      </c>
      <c r="M226" s="81" t="str">
        <f t="shared" si="17"/>
        <v/>
      </c>
      <c r="N226" s="81" t="str">
        <f t="shared" si="18"/>
        <v/>
      </c>
      <c r="O226" s="81" t="str">
        <f t="shared" si="19"/>
        <v/>
      </c>
      <c r="P226" s="81" t="str">
        <f t="shared" si="20"/>
        <v/>
      </c>
      <c r="Q226" s="81" t="str">
        <f t="shared" si="21"/>
        <v/>
      </c>
    </row>
    <row r="227" spans="6:17" x14ac:dyDescent="0.25">
      <c r="F227" s="81" t="str">
        <f>IF($B227="","",IF(SUMIF(Grades!$A:$A,$B$2,Grades!$BO:$BO)=0,"-",IF(AND(VLOOKUP($B$2,Grades!$A:$BV,74,FALSE)="YES",B227&lt;Thresholds_Rates!$C$16),"-",$C227*Thresholds_Rates!$F$15)))</f>
        <v/>
      </c>
      <c r="M227" s="81" t="str">
        <f t="shared" si="17"/>
        <v/>
      </c>
      <c r="N227" s="81" t="str">
        <f t="shared" si="18"/>
        <v/>
      </c>
      <c r="O227" s="81" t="str">
        <f t="shared" si="19"/>
        <v/>
      </c>
      <c r="P227" s="81" t="str">
        <f t="shared" si="20"/>
        <v/>
      </c>
      <c r="Q227" s="81" t="str">
        <f t="shared" si="21"/>
        <v/>
      </c>
    </row>
    <row r="228" spans="6:17" x14ac:dyDescent="0.25">
      <c r="F228" s="81" t="str">
        <f>IF($B228="","",IF(SUMIF(Grades!$A:$A,$B$2,Grades!$BO:$BO)=0,"-",IF(AND(VLOOKUP($B$2,Grades!$A:$BV,74,FALSE)="YES",B228&lt;Thresholds_Rates!$C$16),"-",$C228*Thresholds_Rates!$F$15)))</f>
        <v/>
      </c>
      <c r="M228" s="81" t="str">
        <f t="shared" si="17"/>
        <v/>
      </c>
      <c r="N228" s="81" t="str">
        <f t="shared" si="18"/>
        <v/>
      </c>
      <c r="O228" s="81" t="str">
        <f t="shared" si="19"/>
        <v/>
      </c>
      <c r="P228" s="81" t="str">
        <f t="shared" si="20"/>
        <v/>
      </c>
      <c r="Q228" s="81" t="str">
        <f t="shared" si="21"/>
        <v/>
      </c>
    </row>
    <row r="229" spans="6:17" x14ac:dyDescent="0.25">
      <c r="F229" s="81" t="str">
        <f>IF($B229="","",IF(SUMIF(Grades!$A:$A,$B$2,Grades!$BO:$BO)=0,"-",IF(AND(VLOOKUP($B$2,Grades!$A:$BV,74,FALSE)="YES",B229&lt;Thresholds_Rates!$C$16),"-",$C229*Thresholds_Rates!$F$15)))</f>
        <v/>
      </c>
      <c r="M229" s="81" t="str">
        <f t="shared" si="17"/>
        <v/>
      </c>
      <c r="N229" s="81" t="str">
        <f t="shared" si="18"/>
        <v/>
      </c>
      <c r="O229" s="81" t="str">
        <f t="shared" si="19"/>
        <v/>
      </c>
      <c r="P229" s="81" t="str">
        <f t="shared" si="20"/>
        <v/>
      </c>
      <c r="Q229" s="81" t="str">
        <f t="shared" si="21"/>
        <v/>
      </c>
    </row>
    <row r="230" spans="6:17" x14ac:dyDescent="0.25">
      <c r="F230" s="81" t="str">
        <f>IF($B230="","",IF(SUMIF(Grades!$A:$A,$B$2,Grades!$BO:$BO)=0,"-",IF(AND(VLOOKUP($B$2,Grades!$A:$BV,74,FALSE)="YES",B230&lt;Thresholds_Rates!$C$16),"-",$C230*Thresholds_Rates!$F$15)))</f>
        <v/>
      </c>
      <c r="M230" s="81" t="str">
        <f t="shared" si="17"/>
        <v/>
      </c>
      <c r="N230" s="81" t="str">
        <f t="shared" si="18"/>
        <v/>
      </c>
      <c r="O230" s="81" t="str">
        <f t="shared" si="19"/>
        <v/>
      </c>
      <c r="P230" s="81" t="str">
        <f t="shared" si="20"/>
        <v/>
      </c>
      <c r="Q230" s="81" t="str">
        <f t="shared" si="21"/>
        <v/>
      </c>
    </row>
    <row r="231" spans="6:17" x14ac:dyDescent="0.25">
      <c r="F231" s="81" t="str">
        <f>IF($B231="","",IF(SUMIF(Grades!$A:$A,$B$2,Grades!$BO:$BO)=0,"-",IF(AND(VLOOKUP($B$2,Grades!$A:$BV,74,FALSE)="YES",B231&lt;Thresholds_Rates!$C$16),"-",$C231*Thresholds_Rates!$F$15)))</f>
        <v/>
      </c>
      <c r="M231" s="81" t="str">
        <f t="shared" si="17"/>
        <v/>
      </c>
      <c r="N231" s="81" t="str">
        <f t="shared" si="18"/>
        <v/>
      </c>
      <c r="O231" s="81" t="str">
        <f t="shared" si="19"/>
        <v/>
      </c>
      <c r="P231" s="81" t="str">
        <f t="shared" si="20"/>
        <v/>
      </c>
      <c r="Q231" s="81" t="str">
        <f t="shared" si="21"/>
        <v/>
      </c>
    </row>
    <row r="232" spans="6:17" x14ac:dyDescent="0.25">
      <c r="F232" s="81" t="str">
        <f>IF($B232="","",IF(SUMIF(Grades!$A:$A,$B$2,Grades!$BO:$BO)=0,"-",IF(AND(VLOOKUP($B$2,Grades!$A:$BV,74,FALSE)="YES",B232&lt;Thresholds_Rates!$C$16),"-",$C232*Thresholds_Rates!$F$15)))</f>
        <v/>
      </c>
      <c r="M232" s="81" t="str">
        <f t="shared" si="17"/>
        <v/>
      </c>
      <c r="N232" s="81" t="str">
        <f t="shared" si="18"/>
        <v/>
      </c>
      <c r="O232" s="81" t="str">
        <f t="shared" si="19"/>
        <v/>
      </c>
      <c r="P232" s="81" t="str">
        <f t="shared" si="20"/>
        <v/>
      </c>
      <c r="Q232" s="81" t="str">
        <f t="shared" si="21"/>
        <v/>
      </c>
    </row>
    <row r="233" spans="6:17" x14ac:dyDescent="0.25">
      <c r="F233" s="81" t="str">
        <f>IF($B233="","",IF(SUMIF(Grades!$A:$A,$B$2,Grades!$BO:$BO)=0,"-",IF(AND(VLOOKUP($B$2,Grades!$A:$BV,74,FALSE)="YES",B233&lt;Thresholds_Rates!$C$16),"-",$C233*Thresholds_Rates!$F$15)))</f>
        <v/>
      </c>
      <c r="M233" s="81" t="str">
        <f t="shared" si="17"/>
        <v/>
      </c>
      <c r="N233" s="81" t="str">
        <f t="shared" si="18"/>
        <v/>
      </c>
      <c r="O233" s="81" t="str">
        <f t="shared" si="19"/>
        <v/>
      </c>
      <c r="P233" s="81" t="str">
        <f t="shared" si="20"/>
        <v/>
      </c>
      <c r="Q233" s="81" t="str">
        <f t="shared" si="21"/>
        <v/>
      </c>
    </row>
    <row r="234" spans="6:17" x14ac:dyDescent="0.25">
      <c r="F234" s="81" t="str">
        <f>IF($B234="","",IF(SUMIF(Grades!$A:$A,$B$2,Grades!$BO:$BO)=0,"-",IF(AND(VLOOKUP($B$2,Grades!$A:$BV,74,FALSE)="YES",B234&lt;Thresholds_Rates!$C$16),"-",$C234*Thresholds_Rates!$F$15)))</f>
        <v/>
      </c>
      <c r="M234" s="81" t="str">
        <f t="shared" si="17"/>
        <v/>
      </c>
      <c r="N234" s="81" t="str">
        <f t="shared" si="18"/>
        <v/>
      </c>
      <c r="O234" s="81" t="str">
        <f t="shared" si="19"/>
        <v/>
      </c>
      <c r="P234" s="81" t="str">
        <f t="shared" si="20"/>
        <v/>
      </c>
      <c r="Q234" s="81" t="str">
        <f t="shared" si="21"/>
        <v/>
      </c>
    </row>
    <row r="235" spans="6:17" x14ac:dyDescent="0.25">
      <c r="F235" s="81" t="str">
        <f>IF($B235="","",IF(SUMIF(Grades!$A:$A,$B$2,Grades!$BO:$BO)=0,"-",IF(AND(VLOOKUP($B$2,Grades!$A:$BV,74,FALSE)="YES",B235&lt;Thresholds_Rates!$C$16),"-",$C235*Thresholds_Rates!$F$15)))</f>
        <v/>
      </c>
      <c r="M235" s="81" t="str">
        <f t="shared" si="17"/>
        <v/>
      </c>
      <c r="N235" s="81" t="str">
        <f t="shared" si="18"/>
        <v/>
      </c>
      <c r="O235" s="81" t="str">
        <f t="shared" si="19"/>
        <v/>
      </c>
      <c r="P235" s="81" t="str">
        <f t="shared" si="20"/>
        <v/>
      </c>
      <c r="Q235" s="81" t="str">
        <f t="shared" si="21"/>
        <v/>
      </c>
    </row>
    <row r="236" spans="6:17" x14ac:dyDescent="0.25">
      <c r="F236" s="81" t="str">
        <f>IF($B236="","",IF(SUMIF(Grades!$A:$A,$B$2,Grades!$BO:$BO)=0,"-",IF(AND(VLOOKUP($B$2,Grades!$A:$BV,74,FALSE)="YES",B236&lt;Thresholds_Rates!$C$16),"-",$C236*Thresholds_Rates!$F$15)))</f>
        <v/>
      </c>
      <c r="M236" s="81" t="str">
        <f t="shared" ref="M236:M299" si="22">IF(B236="","",IF(F236="-","-",$C236+$I236+F236))</f>
        <v/>
      </c>
      <c r="N236" s="81" t="str">
        <f t="shared" ref="N236:N299" si="23">IF(B236="","",IF(G236="-","-",$C236+$I236+G236))</f>
        <v/>
      </c>
      <c r="O236" s="81" t="str">
        <f t="shared" ref="O236:O299" si="24">IF(B236="","",IF(H236="-","-",$C236+$I236+H236))</f>
        <v/>
      </c>
      <c r="P236" s="81" t="str">
        <f t="shared" ref="P236:P299" si="25">IF(B236="","",IF(K236="-","-",$C236+$I236+K236))</f>
        <v/>
      </c>
      <c r="Q236" s="81" t="str">
        <f t="shared" ref="Q236:Q299" si="26">IF(B236="","",C236+I236)</f>
        <v/>
      </c>
    </row>
    <row r="237" spans="6:17" x14ac:dyDescent="0.25">
      <c r="F237" s="81" t="str">
        <f>IF($B237="","",IF(SUMIF(Grades!$A:$A,$B$2,Grades!$BO:$BO)=0,"-",IF(AND(VLOOKUP($B$2,Grades!$A:$BV,74,FALSE)="YES",B237&lt;Thresholds_Rates!$C$16),"-",$C237*Thresholds_Rates!$F$15)))</f>
        <v/>
      </c>
      <c r="M237" s="81" t="str">
        <f t="shared" si="22"/>
        <v/>
      </c>
      <c r="N237" s="81" t="str">
        <f t="shared" si="23"/>
        <v/>
      </c>
      <c r="O237" s="81" t="str">
        <f t="shared" si="24"/>
        <v/>
      </c>
      <c r="P237" s="81" t="str">
        <f t="shared" si="25"/>
        <v/>
      </c>
      <c r="Q237" s="81" t="str">
        <f t="shared" si="26"/>
        <v/>
      </c>
    </row>
    <row r="238" spans="6:17" x14ac:dyDescent="0.25">
      <c r="F238" s="81" t="str">
        <f>IF($B238="","",IF(SUMIF(Grades!$A:$A,$B$2,Grades!$BO:$BO)=0,"-",IF(AND(VLOOKUP($B$2,Grades!$A:$BV,74,FALSE)="YES",B238&lt;Thresholds_Rates!$C$16),"-",$C238*Thresholds_Rates!$F$15)))</f>
        <v/>
      </c>
      <c r="M238" s="81" t="str">
        <f t="shared" si="22"/>
        <v/>
      </c>
      <c r="N238" s="81" t="str">
        <f t="shared" si="23"/>
        <v/>
      </c>
      <c r="O238" s="81" t="str">
        <f t="shared" si="24"/>
        <v/>
      </c>
      <c r="P238" s="81" t="str">
        <f t="shared" si="25"/>
        <v/>
      </c>
      <c r="Q238" s="81" t="str">
        <f t="shared" si="26"/>
        <v/>
      </c>
    </row>
    <row r="239" spans="6:17" x14ac:dyDescent="0.25">
      <c r="F239" s="81" t="str">
        <f>IF($B239="","",IF(SUMIF(Grades!$A:$A,$B$2,Grades!$BO:$BO)=0,"-",IF(AND(VLOOKUP($B$2,Grades!$A:$BV,74,FALSE)="YES",B239&lt;Thresholds_Rates!$C$16),"-",$C239*Thresholds_Rates!$F$15)))</f>
        <v/>
      </c>
      <c r="M239" s="81" t="str">
        <f t="shared" si="22"/>
        <v/>
      </c>
      <c r="N239" s="81" t="str">
        <f t="shared" si="23"/>
        <v/>
      </c>
      <c r="O239" s="81" t="str">
        <f t="shared" si="24"/>
        <v/>
      </c>
      <c r="P239" s="81" t="str">
        <f t="shared" si="25"/>
        <v/>
      </c>
      <c r="Q239" s="81" t="str">
        <f t="shared" si="26"/>
        <v/>
      </c>
    </row>
    <row r="240" spans="6:17" x14ac:dyDescent="0.25">
      <c r="F240" s="81" t="str">
        <f>IF($B240="","",IF(SUMIF(Grades!$A:$A,$B$2,Grades!$BO:$BO)=0,"-",IF(AND(VLOOKUP($B$2,Grades!$A:$BV,74,FALSE)="YES",B240&lt;Thresholds_Rates!$C$16),"-",$C240*Thresholds_Rates!$F$15)))</f>
        <v/>
      </c>
      <c r="M240" s="81" t="str">
        <f t="shared" si="22"/>
        <v/>
      </c>
      <c r="N240" s="81" t="str">
        <f t="shared" si="23"/>
        <v/>
      </c>
      <c r="O240" s="81" t="str">
        <f t="shared" si="24"/>
        <v/>
      </c>
      <c r="P240" s="81" t="str">
        <f t="shared" si="25"/>
        <v/>
      </c>
      <c r="Q240" s="81" t="str">
        <f t="shared" si="26"/>
        <v/>
      </c>
    </row>
    <row r="241" spans="6:17" x14ac:dyDescent="0.25">
      <c r="F241" s="81" t="str">
        <f>IF($B241="","",IF(SUMIF(Grades!$A:$A,$B$2,Grades!$BO:$BO)=0,"-",IF(AND(VLOOKUP($B$2,Grades!$A:$BV,74,FALSE)="YES",B241&lt;Thresholds_Rates!$C$16),"-",$C241*Thresholds_Rates!$F$15)))</f>
        <v/>
      </c>
      <c r="M241" s="81" t="str">
        <f t="shared" si="22"/>
        <v/>
      </c>
      <c r="N241" s="81" t="str">
        <f t="shared" si="23"/>
        <v/>
      </c>
      <c r="O241" s="81" t="str">
        <f t="shared" si="24"/>
        <v/>
      </c>
      <c r="P241" s="81" t="str">
        <f t="shared" si="25"/>
        <v/>
      </c>
      <c r="Q241" s="81" t="str">
        <f t="shared" si="26"/>
        <v/>
      </c>
    </row>
    <row r="242" spans="6:17" x14ac:dyDescent="0.25">
      <c r="F242" s="81" t="str">
        <f>IF($B242="","",IF(SUMIF(Grades!$A:$A,$B$2,Grades!$BO:$BO)=0,"-",IF(AND(VLOOKUP($B$2,Grades!$A:$BV,74,FALSE)="YES",B242&lt;Thresholds_Rates!$C$16),"-",$C242*Thresholds_Rates!$F$15)))</f>
        <v/>
      </c>
      <c r="M242" s="81" t="str">
        <f t="shared" si="22"/>
        <v/>
      </c>
      <c r="N242" s="81" t="str">
        <f t="shared" si="23"/>
        <v/>
      </c>
      <c r="O242" s="81" t="str">
        <f t="shared" si="24"/>
        <v/>
      </c>
      <c r="P242" s="81" t="str">
        <f t="shared" si="25"/>
        <v/>
      </c>
      <c r="Q242" s="81" t="str">
        <f t="shared" si="26"/>
        <v/>
      </c>
    </row>
    <row r="243" spans="6:17" x14ac:dyDescent="0.25">
      <c r="F243" s="81" t="str">
        <f>IF($B243="","",IF(SUMIF(Grades!$A:$A,$B$2,Grades!$BO:$BO)=0,"-",IF(AND(VLOOKUP($B$2,Grades!$A:$BV,74,FALSE)="YES",B243&lt;Thresholds_Rates!$C$16),"-",$C243*Thresholds_Rates!$F$15)))</f>
        <v/>
      </c>
      <c r="M243" s="81" t="str">
        <f t="shared" si="22"/>
        <v/>
      </c>
      <c r="N243" s="81" t="str">
        <f t="shared" si="23"/>
        <v/>
      </c>
      <c r="O243" s="81" t="str">
        <f t="shared" si="24"/>
        <v/>
      </c>
      <c r="P243" s="81" t="str">
        <f t="shared" si="25"/>
        <v/>
      </c>
      <c r="Q243" s="81" t="str">
        <f t="shared" si="26"/>
        <v/>
      </c>
    </row>
    <row r="244" spans="6:17" x14ac:dyDescent="0.25">
      <c r="F244" s="81" t="str">
        <f>IF($B244="","",IF(SUMIF(Grades!$A:$A,$B$2,Grades!$BO:$BO)=0,"-",IF(AND(VLOOKUP($B$2,Grades!$A:$BV,74,FALSE)="YES",B244&lt;Thresholds_Rates!$C$16),"-",$C244*Thresholds_Rates!$F$15)))</f>
        <v/>
      </c>
      <c r="M244" s="81" t="str">
        <f t="shared" si="22"/>
        <v/>
      </c>
      <c r="N244" s="81" t="str">
        <f t="shared" si="23"/>
        <v/>
      </c>
      <c r="O244" s="81" t="str">
        <f t="shared" si="24"/>
        <v/>
      </c>
      <c r="P244" s="81" t="str">
        <f t="shared" si="25"/>
        <v/>
      </c>
      <c r="Q244" s="81" t="str">
        <f t="shared" si="26"/>
        <v/>
      </c>
    </row>
    <row r="245" spans="6:17" x14ac:dyDescent="0.25">
      <c r="F245" s="81" t="str">
        <f>IF($B245="","",IF(SUMIF(Grades!$A:$A,$B$2,Grades!$BO:$BO)=0,"-",IF(AND(VLOOKUP($B$2,Grades!$A:$BV,74,FALSE)="YES",B245&lt;Thresholds_Rates!$C$16),"-",$C245*Thresholds_Rates!$F$15)))</f>
        <v/>
      </c>
      <c r="M245" s="81" t="str">
        <f t="shared" si="22"/>
        <v/>
      </c>
      <c r="N245" s="81" t="str">
        <f t="shared" si="23"/>
        <v/>
      </c>
      <c r="O245" s="81" t="str">
        <f t="shared" si="24"/>
        <v/>
      </c>
      <c r="P245" s="81" t="str">
        <f t="shared" si="25"/>
        <v/>
      </c>
      <c r="Q245" s="81" t="str">
        <f t="shared" si="26"/>
        <v/>
      </c>
    </row>
    <row r="246" spans="6:17" x14ac:dyDescent="0.25">
      <c r="F246" s="81" t="str">
        <f>IF($B246="","",IF(SUMIF(Grades!$A:$A,$B$2,Grades!$BO:$BO)=0,"-",IF(AND(VLOOKUP($B$2,Grades!$A:$BV,74,FALSE)="YES",B246&lt;Thresholds_Rates!$C$16),"-",$C246*Thresholds_Rates!$F$15)))</f>
        <v/>
      </c>
      <c r="M246" s="81" t="str">
        <f t="shared" si="22"/>
        <v/>
      </c>
      <c r="N246" s="81" t="str">
        <f t="shared" si="23"/>
        <v/>
      </c>
      <c r="O246" s="81" t="str">
        <f t="shared" si="24"/>
        <v/>
      </c>
      <c r="P246" s="81" t="str">
        <f t="shared" si="25"/>
        <v/>
      </c>
      <c r="Q246" s="81" t="str">
        <f t="shared" si="26"/>
        <v/>
      </c>
    </row>
    <row r="247" spans="6:17" x14ac:dyDescent="0.25">
      <c r="F247" s="81" t="str">
        <f>IF($B247="","",IF(SUMIF(Grades!$A:$A,$B$2,Grades!$BO:$BO)=0,"-",IF(AND(VLOOKUP($B$2,Grades!$A:$BV,74,FALSE)="YES",B247&lt;Thresholds_Rates!$C$16),"-",$C247*Thresholds_Rates!$F$15)))</f>
        <v/>
      </c>
      <c r="M247" s="81" t="str">
        <f t="shared" si="22"/>
        <v/>
      </c>
      <c r="N247" s="81" t="str">
        <f t="shared" si="23"/>
        <v/>
      </c>
      <c r="O247" s="81" t="str">
        <f t="shared" si="24"/>
        <v/>
      </c>
      <c r="P247" s="81" t="str">
        <f t="shared" si="25"/>
        <v/>
      </c>
      <c r="Q247" s="81" t="str">
        <f t="shared" si="26"/>
        <v/>
      </c>
    </row>
    <row r="248" spans="6:17" x14ac:dyDescent="0.25">
      <c r="F248" s="81" t="str">
        <f>IF($B248="","",IF(SUMIF(Grades!$A:$A,$B$2,Grades!$BO:$BO)=0,"-",IF(AND(VLOOKUP($B$2,Grades!$A:$BV,74,FALSE)="YES",B248&lt;Thresholds_Rates!$C$16),"-",$C248*Thresholds_Rates!$F$15)))</f>
        <v/>
      </c>
      <c r="M248" s="81" t="str">
        <f t="shared" si="22"/>
        <v/>
      </c>
      <c r="N248" s="81" t="str">
        <f t="shared" si="23"/>
        <v/>
      </c>
      <c r="O248" s="81" t="str">
        <f t="shared" si="24"/>
        <v/>
      </c>
      <c r="P248" s="81" t="str">
        <f t="shared" si="25"/>
        <v/>
      </c>
      <c r="Q248" s="81" t="str">
        <f t="shared" si="26"/>
        <v/>
      </c>
    </row>
    <row r="249" spans="6:17" x14ac:dyDescent="0.25">
      <c r="F249" s="81" t="str">
        <f>IF($B249="","",IF(SUMIF(Grades!$A:$A,$B$2,Grades!$BO:$BO)=0,"-",IF(AND(VLOOKUP($B$2,Grades!$A:$BV,74,FALSE)="YES",B249&lt;Thresholds_Rates!$C$16),"-",$C249*Thresholds_Rates!$F$15)))</f>
        <v/>
      </c>
      <c r="M249" s="81" t="str">
        <f t="shared" si="22"/>
        <v/>
      </c>
      <c r="N249" s="81" t="str">
        <f t="shared" si="23"/>
        <v/>
      </c>
      <c r="O249" s="81" t="str">
        <f t="shared" si="24"/>
        <v/>
      </c>
      <c r="P249" s="81" t="str">
        <f t="shared" si="25"/>
        <v/>
      </c>
      <c r="Q249" s="81" t="str">
        <f t="shared" si="26"/>
        <v/>
      </c>
    </row>
    <row r="250" spans="6:17" x14ac:dyDescent="0.25">
      <c r="F250" s="81" t="str">
        <f>IF($B250="","",IF(SUMIF(Grades!$A:$A,$B$2,Grades!$BO:$BO)=0,"-",IF(AND(VLOOKUP($B$2,Grades!$A:$BV,74,FALSE)="YES",B250&lt;Thresholds_Rates!$C$16),"-",$C250*Thresholds_Rates!$F$15)))</f>
        <v/>
      </c>
      <c r="M250" s="81" t="str">
        <f t="shared" si="22"/>
        <v/>
      </c>
      <c r="N250" s="81" t="str">
        <f t="shared" si="23"/>
        <v/>
      </c>
      <c r="O250" s="81" t="str">
        <f t="shared" si="24"/>
        <v/>
      </c>
      <c r="P250" s="81" t="str">
        <f t="shared" si="25"/>
        <v/>
      </c>
      <c r="Q250" s="81" t="str">
        <f t="shared" si="26"/>
        <v/>
      </c>
    </row>
    <row r="251" spans="6:17" x14ac:dyDescent="0.25">
      <c r="F251" s="81" t="str">
        <f>IF($B251="","",IF(SUMIF(Grades!$A:$A,$B$2,Grades!$BO:$BO)=0,"-",IF(AND(VLOOKUP($B$2,Grades!$A:$BV,74,FALSE)="YES",B251&lt;Thresholds_Rates!$C$16),"-",$C251*Thresholds_Rates!$F$15)))</f>
        <v/>
      </c>
      <c r="M251" s="81" t="str">
        <f t="shared" si="22"/>
        <v/>
      </c>
      <c r="N251" s="81" t="str">
        <f t="shared" si="23"/>
        <v/>
      </c>
      <c r="O251" s="81" t="str">
        <f t="shared" si="24"/>
        <v/>
      </c>
      <c r="P251" s="81" t="str">
        <f t="shared" si="25"/>
        <v/>
      </c>
      <c r="Q251" s="81" t="str">
        <f t="shared" si="26"/>
        <v/>
      </c>
    </row>
    <row r="252" spans="6:17" x14ac:dyDescent="0.25">
      <c r="F252" s="81" t="str">
        <f>IF($B252="","",IF(SUMIF(Grades!$A:$A,$B$2,Grades!$BO:$BO)=0,"-",IF(AND(VLOOKUP($B$2,Grades!$A:$BV,74,FALSE)="YES",B252&lt;Thresholds_Rates!$C$16),"-",$C252*Thresholds_Rates!$F$15)))</f>
        <v/>
      </c>
      <c r="M252" s="81" t="str">
        <f t="shared" si="22"/>
        <v/>
      </c>
      <c r="N252" s="81" t="str">
        <f t="shared" si="23"/>
        <v/>
      </c>
      <c r="O252" s="81" t="str">
        <f t="shared" si="24"/>
        <v/>
      </c>
      <c r="P252" s="81" t="str">
        <f t="shared" si="25"/>
        <v/>
      </c>
      <c r="Q252" s="81" t="str">
        <f t="shared" si="26"/>
        <v/>
      </c>
    </row>
    <row r="253" spans="6:17" x14ac:dyDescent="0.25">
      <c r="F253" s="81" t="str">
        <f>IF($B253="","",IF(SUMIF(Grades!$A:$A,$B$2,Grades!$BO:$BO)=0,"-",IF(AND(VLOOKUP($B$2,Grades!$A:$BV,74,FALSE)="YES",B253&lt;Thresholds_Rates!$C$16),"-",$C253*Thresholds_Rates!$F$15)))</f>
        <v/>
      </c>
      <c r="M253" s="81" t="str">
        <f t="shared" si="22"/>
        <v/>
      </c>
      <c r="N253" s="81" t="str">
        <f t="shared" si="23"/>
        <v/>
      </c>
      <c r="O253" s="81" t="str">
        <f t="shared" si="24"/>
        <v/>
      </c>
      <c r="P253" s="81" t="str">
        <f t="shared" si="25"/>
        <v/>
      </c>
      <c r="Q253" s="81" t="str">
        <f t="shared" si="26"/>
        <v/>
      </c>
    </row>
    <row r="254" spans="6:17" x14ac:dyDescent="0.25">
      <c r="F254" s="81" t="str">
        <f>IF($B254="","",IF(SUMIF(Grades!$A:$A,$B$2,Grades!$BO:$BO)=0,"-",IF(AND(VLOOKUP($B$2,Grades!$A:$BV,74,FALSE)="YES",B254&lt;Thresholds_Rates!$C$16),"-",$C254*Thresholds_Rates!$F$15)))</f>
        <v/>
      </c>
      <c r="M254" s="81" t="str">
        <f t="shared" si="22"/>
        <v/>
      </c>
      <c r="N254" s="81" t="str">
        <f t="shared" si="23"/>
        <v/>
      </c>
      <c r="O254" s="81" t="str">
        <f t="shared" si="24"/>
        <v/>
      </c>
      <c r="P254" s="81" t="str">
        <f t="shared" si="25"/>
        <v/>
      </c>
      <c r="Q254" s="81" t="str">
        <f t="shared" si="26"/>
        <v/>
      </c>
    </row>
    <row r="255" spans="6:17" x14ac:dyDescent="0.25">
      <c r="F255" s="81" t="str">
        <f>IF($B255="","",IF(SUMIF(Grades!$A:$A,$B$2,Grades!$BO:$BO)=0,"-",IF(AND(VLOOKUP($B$2,Grades!$A:$BV,74,FALSE)="YES",B255&lt;Thresholds_Rates!$C$16),"-",$C255*Thresholds_Rates!$F$15)))</f>
        <v/>
      </c>
      <c r="M255" s="81" t="str">
        <f t="shared" si="22"/>
        <v/>
      </c>
      <c r="N255" s="81" t="str">
        <f t="shared" si="23"/>
        <v/>
      </c>
      <c r="O255" s="81" t="str">
        <f t="shared" si="24"/>
        <v/>
      </c>
      <c r="P255" s="81" t="str">
        <f t="shared" si="25"/>
        <v/>
      </c>
      <c r="Q255" s="81" t="str">
        <f t="shared" si="26"/>
        <v/>
      </c>
    </row>
    <row r="256" spans="6:17" x14ac:dyDescent="0.25">
      <c r="F256" s="81" t="str">
        <f>IF($B256="","",IF(SUMIF(Grades!$A:$A,$B$2,Grades!$BO:$BO)=0,"-",IF(AND(VLOOKUP($B$2,Grades!$A:$BV,74,FALSE)="YES",B256&lt;Thresholds_Rates!$C$16),"-",$C256*Thresholds_Rates!$F$15)))</f>
        <v/>
      </c>
      <c r="M256" s="81" t="str">
        <f t="shared" si="22"/>
        <v/>
      </c>
      <c r="N256" s="81" t="str">
        <f t="shared" si="23"/>
        <v/>
      </c>
      <c r="O256" s="81" t="str">
        <f t="shared" si="24"/>
        <v/>
      </c>
      <c r="P256" s="81" t="str">
        <f t="shared" si="25"/>
        <v/>
      </c>
      <c r="Q256" s="81" t="str">
        <f t="shared" si="26"/>
        <v/>
      </c>
    </row>
    <row r="257" spans="6:17" x14ac:dyDescent="0.25">
      <c r="F257" s="81" t="str">
        <f>IF($B257="","",IF(SUMIF(Grades!$A:$A,$B$2,Grades!$BO:$BO)=0,"-",IF(AND(VLOOKUP($B$2,Grades!$A:$BV,74,FALSE)="YES",B257&lt;Thresholds_Rates!$C$16),"-",$C257*Thresholds_Rates!$F$15)))</f>
        <v/>
      </c>
      <c r="M257" s="81" t="str">
        <f t="shared" si="22"/>
        <v/>
      </c>
      <c r="N257" s="81" t="str">
        <f t="shared" si="23"/>
        <v/>
      </c>
      <c r="O257" s="81" t="str">
        <f t="shared" si="24"/>
        <v/>
      </c>
      <c r="P257" s="81" t="str">
        <f t="shared" si="25"/>
        <v/>
      </c>
      <c r="Q257" s="81" t="str">
        <f t="shared" si="26"/>
        <v/>
      </c>
    </row>
    <row r="258" spans="6:17" x14ac:dyDescent="0.25">
      <c r="F258" s="81" t="str">
        <f>IF($B258="","",IF(SUMIF(Grades!$A:$A,$B$2,Grades!$BO:$BO)=0,"-",IF(AND(VLOOKUP($B$2,Grades!$A:$BV,74,FALSE)="YES",B258&lt;Thresholds_Rates!$C$16),"-",$C258*Thresholds_Rates!$F$15)))</f>
        <v/>
      </c>
      <c r="M258" s="81" t="str">
        <f t="shared" si="22"/>
        <v/>
      </c>
      <c r="N258" s="81" t="str">
        <f t="shared" si="23"/>
        <v/>
      </c>
      <c r="O258" s="81" t="str">
        <f t="shared" si="24"/>
        <v/>
      </c>
      <c r="P258" s="81" t="str">
        <f t="shared" si="25"/>
        <v/>
      </c>
      <c r="Q258" s="81" t="str">
        <f t="shared" si="26"/>
        <v/>
      </c>
    </row>
    <row r="259" spans="6:17" x14ac:dyDescent="0.25">
      <c r="F259" s="81" t="str">
        <f>IF($B259="","",IF(SUMIF(Grades!$A:$A,$B$2,Grades!$BO:$BO)=0,"-",IF(AND(VLOOKUP($B$2,Grades!$A:$BV,74,FALSE)="YES",B259&lt;Thresholds_Rates!$C$16),"-",$C259*Thresholds_Rates!$F$15)))</f>
        <v/>
      </c>
      <c r="M259" s="81" t="str">
        <f t="shared" si="22"/>
        <v/>
      </c>
      <c r="N259" s="81" t="str">
        <f t="shared" si="23"/>
        <v/>
      </c>
      <c r="O259" s="81" t="str">
        <f t="shared" si="24"/>
        <v/>
      </c>
      <c r="P259" s="81" t="str">
        <f t="shared" si="25"/>
        <v/>
      </c>
      <c r="Q259" s="81" t="str">
        <f t="shared" si="26"/>
        <v/>
      </c>
    </row>
    <row r="260" spans="6:17" x14ac:dyDescent="0.25">
      <c r="F260" s="81" t="str">
        <f>IF($B260="","",IF(SUMIF(Grades!$A:$A,$B$2,Grades!$BO:$BO)=0,"-",IF(AND(VLOOKUP($B$2,Grades!$A:$BV,74,FALSE)="YES",B260&lt;Thresholds_Rates!$C$16),"-",$C260*Thresholds_Rates!$F$15)))</f>
        <v/>
      </c>
      <c r="M260" s="81" t="str">
        <f t="shared" si="22"/>
        <v/>
      </c>
      <c r="N260" s="81" t="str">
        <f t="shared" si="23"/>
        <v/>
      </c>
      <c r="O260" s="81" t="str">
        <f t="shared" si="24"/>
        <v/>
      </c>
      <c r="P260" s="81" t="str">
        <f t="shared" si="25"/>
        <v/>
      </c>
      <c r="Q260" s="81" t="str">
        <f t="shared" si="26"/>
        <v/>
      </c>
    </row>
    <row r="261" spans="6:17" x14ac:dyDescent="0.25">
      <c r="F261" s="81" t="str">
        <f>IF($B261="","",IF(SUMIF(Grades!$A:$A,$B$2,Grades!$BO:$BO)=0,"-",IF(AND(VLOOKUP($B$2,Grades!$A:$BV,74,FALSE)="YES",B261&lt;Thresholds_Rates!$C$16),"-",$C261*Thresholds_Rates!$F$15)))</f>
        <v/>
      </c>
      <c r="M261" s="81" t="str">
        <f t="shared" si="22"/>
        <v/>
      </c>
      <c r="N261" s="81" t="str">
        <f t="shared" si="23"/>
        <v/>
      </c>
      <c r="O261" s="81" t="str">
        <f t="shared" si="24"/>
        <v/>
      </c>
      <c r="P261" s="81" t="str">
        <f t="shared" si="25"/>
        <v/>
      </c>
      <c r="Q261" s="81" t="str">
        <f t="shared" si="26"/>
        <v/>
      </c>
    </row>
    <row r="262" spans="6:17" x14ac:dyDescent="0.25">
      <c r="F262" s="81" t="str">
        <f>IF($B262="","",IF(SUMIF(Grades!$A:$A,$B$2,Grades!$BO:$BO)=0,"-",IF(AND(VLOOKUP($B$2,Grades!$A:$BV,74,FALSE)="YES",B262&lt;Thresholds_Rates!$C$16),"-",$C262*Thresholds_Rates!$F$15)))</f>
        <v/>
      </c>
      <c r="M262" s="81" t="str">
        <f t="shared" si="22"/>
        <v/>
      </c>
      <c r="N262" s="81" t="str">
        <f t="shared" si="23"/>
        <v/>
      </c>
      <c r="O262" s="81" t="str">
        <f t="shared" si="24"/>
        <v/>
      </c>
      <c r="P262" s="81" t="str">
        <f t="shared" si="25"/>
        <v/>
      </c>
      <c r="Q262" s="81" t="str">
        <f t="shared" si="26"/>
        <v/>
      </c>
    </row>
    <row r="263" spans="6:17" x14ac:dyDescent="0.25">
      <c r="F263" s="81" t="str">
        <f>IF($B263="","",IF(SUMIF(Grades!$A:$A,$B$2,Grades!$BO:$BO)=0,"-",IF(AND(VLOOKUP($B$2,Grades!$A:$BV,74,FALSE)="YES",B263&lt;Thresholds_Rates!$C$16),"-",$C263*Thresholds_Rates!$F$15)))</f>
        <v/>
      </c>
      <c r="M263" s="81" t="str">
        <f t="shared" si="22"/>
        <v/>
      </c>
      <c r="N263" s="81" t="str">
        <f t="shared" si="23"/>
        <v/>
      </c>
      <c r="O263" s="81" t="str">
        <f t="shared" si="24"/>
        <v/>
      </c>
      <c r="P263" s="81" t="str">
        <f t="shared" si="25"/>
        <v/>
      </c>
      <c r="Q263" s="81" t="str">
        <f t="shared" si="26"/>
        <v/>
      </c>
    </row>
    <row r="264" spans="6:17" x14ac:dyDescent="0.25">
      <c r="F264" s="81" t="str">
        <f>IF($B264="","",IF(SUMIF(Grades!$A:$A,$B$2,Grades!$BO:$BO)=0,"-",IF(AND(VLOOKUP($B$2,Grades!$A:$BV,74,FALSE)="YES",B264&lt;Thresholds_Rates!$C$16),"-",$C264*Thresholds_Rates!$F$15)))</f>
        <v/>
      </c>
      <c r="M264" s="81" t="str">
        <f t="shared" si="22"/>
        <v/>
      </c>
      <c r="N264" s="81" t="str">
        <f t="shared" si="23"/>
        <v/>
      </c>
      <c r="O264" s="81" t="str">
        <f t="shared" si="24"/>
        <v/>
      </c>
      <c r="P264" s="81" t="str">
        <f t="shared" si="25"/>
        <v/>
      </c>
      <c r="Q264" s="81" t="str">
        <f t="shared" si="26"/>
        <v/>
      </c>
    </row>
    <row r="265" spans="6:17" x14ac:dyDescent="0.25">
      <c r="F265" s="81" t="str">
        <f>IF($B265="","",IF(SUMIF(Grades!$A:$A,$B$2,Grades!$BO:$BO)=0,"-",IF(AND(VLOOKUP($B$2,Grades!$A:$BV,74,FALSE)="YES",B265&lt;Thresholds_Rates!$C$16),"-",$C265*Thresholds_Rates!$F$15)))</f>
        <v/>
      </c>
      <c r="M265" s="81" t="str">
        <f t="shared" si="22"/>
        <v/>
      </c>
      <c r="N265" s="81" t="str">
        <f t="shared" si="23"/>
        <v/>
      </c>
      <c r="O265" s="81" t="str">
        <f t="shared" si="24"/>
        <v/>
      </c>
      <c r="P265" s="81" t="str">
        <f t="shared" si="25"/>
        <v/>
      </c>
      <c r="Q265" s="81" t="str">
        <f t="shared" si="26"/>
        <v/>
      </c>
    </row>
    <row r="266" spans="6:17" x14ac:dyDescent="0.25">
      <c r="F266" s="81" t="str">
        <f>IF($B266="","",IF(SUMIF(Grades!$A:$A,$B$2,Grades!$BO:$BO)=0,"-",IF(AND(VLOOKUP($B$2,Grades!$A:$BV,74,FALSE)="YES",B266&lt;Thresholds_Rates!$C$16),"-",$C266*Thresholds_Rates!$F$15)))</f>
        <v/>
      </c>
      <c r="M266" s="81" t="str">
        <f t="shared" si="22"/>
        <v/>
      </c>
      <c r="N266" s="81" t="str">
        <f t="shared" si="23"/>
        <v/>
      </c>
      <c r="O266" s="81" t="str">
        <f t="shared" si="24"/>
        <v/>
      </c>
      <c r="P266" s="81" t="str">
        <f t="shared" si="25"/>
        <v/>
      </c>
      <c r="Q266" s="81" t="str">
        <f t="shared" si="26"/>
        <v/>
      </c>
    </row>
    <row r="267" spans="6:17" x14ac:dyDescent="0.25">
      <c r="F267" s="81" t="str">
        <f>IF($B267="","",IF(SUMIF(Grades!$A:$A,$B$2,Grades!$BO:$BO)=0,"-",IF(AND(VLOOKUP($B$2,Grades!$A:$BV,74,FALSE)="YES",B267&lt;Thresholds_Rates!$C$16),"-",$C267*Thresholds_Rates!$F$15)))</f>
        <v/>
      </c>
      <c r="M267" s="81" t="str">
        <f t="shared" si="22"/>
        <v/>
      </c>
      <c r="N267" s="81" t="str">
        <f t="shared" si="23"/>
        <v/>
      </c>
      <c r="O267" s="81" t="str">
        <f t="shared" si="24"/>
        <v/>
      </c>
      <c r="P267" s="81" t="str">
        <f t="shared" si="25"/>
        <v/>
      </c>
      <c r="Q267" s="81" t="str">
        <f t="shared" si="26"/>
        <v/>
      </c>
    </row>
    <row r="268" spans="6:17" x14ac:dyDescent="0.25">
      <c r="F268" s="81" t="str">
        <f>IF($B268="","",IF(SUMIF(Grades!$A:$A,$B$2,Grades!$BO:$BO)=0,"-",IF(AND(VLOOKUP($B$2,Grades!$A:$BV,74,FALSE)="YES",B268&lt;Thresholds_Rates!$C$16),"-",$C268*Thresholds_Rates!$F$15)))</f>
        <v/>
      </c>
      <c r="M268" s="81" t="str">
        <f t="shared" si="22"/>
        <v/>
      </c>
      <c r="N268" s="81" t="str">
        <f t="shared" si="23"/>
        <v/>
      </c>
      <c r="O268" s="81" t="str">
        <f t="shared" si="24"/>
        <v/>
      </c>
      <c r="P268" s="81" t="str">
        <f t="shared" si="25"/>
        <v/>
      </c>
      <c r="Q268" s="81" t="str">
        <f t="shared" si="26"/>
        <v/>
      </c>
    </row>
    <row r="269" spans="6:17" x14ac:dyDescent="0.25">
      <c r="F269" s="81" t="str">
        <f>IF($B269="","",IF(SUMIF(Grades!$A:$A,$B$2,Grades!$BO:$BO)=0,"-",IF(AND(VLOOKUP($B$2,Grades!$A:$BV,74,FALSE)="YES",B269&lt;Thresholds_Rates!$C$16),"-",$C269*Thresholds_Rates!$F$15)))</f>
        <v/>
      </c>
      <c r="M269" s="81" t="str">
        <f t="shared" si="22"/>
        <v/>
      </c>
      <c r="N269" s="81" t="str">
        <f t="shared" si="23"/>
        <v/>
      </c>
      <c r="O269" s="81" t="str">
        <f t="shared" si="24"/>
        <v/>
      </c>
      <c r="P269" s="81" t="str">
        <f t="shared" si="25"/>
        <v/>
      </c>
      <c r="Q269" s="81" t="str">
        <f t="shared" si="26"/>
        <v/>
      </c>
    </row>
    <row r="270" spans="6:17" x14ac:dyDescent="0.25">
      <c r="F270" s="81" t="str">
        <f>IF($B270="","",IF(SUMIF(Grades!$A:$A,$B$2,Grades!$BO:$BO)=0,"-",IF(AND(VLOOKUP($B$2,Grades!$A:$BV,74,FALSE)="YES",B270&lt;Thresholds_Rates!$C$16),"-",$C270*Thresholds_Rates!$F$15)))</f>
        <v/>
      </c>
      <c r="M270" s="81" t="str">
        <f t="shared" si="22"/>
        <v/>
      </c>
      <c r="N270" s="81" t="str">
        <f t="shared" si="23"/>
        <v/>
      </c>
      <c r="O270" s="81" t="str">
        <f t="shared" si="24"/>
        <v/>
      </c>
      <c r="P270" s="81" t="str">
        <f t="shared" si="25"/>
        <v/>
      </c>
      <c r="Q270" s="81" t="str">
        <f t="shared" si="26"/>
        <v/>
      </c>
    </row>
    <row r="271" spans="6:17" x14ac:dyDescent="0.25">
      <c r="F271" s="81" t="str">
        <f>IF($B271="","",IF(SUMIF(Grades!$A:$A,$B$2,Grades!$BO:$BO)=0,"-",IF(AND(VLOOKUP($B$2,Grades!$A:$BV,74,FALSE)="YES",B271&lt;Thresholds_Rates!$C$16),"-",$C271*Thresholds_Rates!$F$15)))</f>
        <v/>
      </c>
      <c r="M271" s="81" t="str">
        <f t="shared" si="22"/>
        <v/>
      </c>
      <c r="N271" s="81" t="str">
        <f t="shared" si="23"/>
        <v/>
      </c>
      <c r="O271" s="81" t="str">
        <f t="shared" si="24"/>
        <v/>
      </c>
      <c r="P271" s="81" t="str">
        <f t="shared" si="25"/>
        <v/>
      </c>
      <c r="Q271" s="81" t="str">
        <f t="shared" si="26"/>
        <v/>
      </c>
    </row>
    <row r="272" spans="6:17" x14ac:dyDescent="0.25">
      <c r="F272" s="81" t="str">
        <f>IF($B272="","",IF(SUMIF(Grades!$A:$A,$B$2,Grades!$BO:$BO)=0,"-",IF(AND(VLOOKUP($B$2,Grades!$A:$BV,74,FALSE)="YES",B272&lt;Thresholds_Rates!$C$16),"-",$C272*Thresholds_Rates!$F$15)))</f>
        <v/>
      </c>
      <c r="M272" s="81" t="str">
        <f t="shared" si="22"/>
        <v/>
      </c>
      <c r="N272" s="81" t="str">
        <f t="shared" si="23"/>
        <v/>
      </c>
      <c r="O272" s="81" t="str">
        <f t="shared" si="24"/>
        <v/>
      </c>
      <c r="P272" s="81" t="str">
        <f t="shared" si="25"/>
        <v/>
      </c>
      <c r="Q272" s="81" t="str">
        <f t="shared" si="26"/>
        <v/>
      </c>
    </row>
    <row r="273" spans="6:17" x14ac:dyDescent="0.25">
      <c r="F273" s="81" t="str">
        <f>IF($B273="","",IF(SUMIF(Grades!$A:$A,$B$2,Grades!$BO:$BO)=0,"-",IF(AND(VLOOKUP($B$2,Grades!$A:$BV,74,FALSE)="YES",B273&lt;Thresholds_Rates!$C$16),"-",$C273*Thresholds_Rates!$F$15)))</f>
        <v/>
      </c>
      <c r="M273" s="81" t="str">
        <f t="shared" si="22"/>
        <v/>
      </c>
      <c r="N273" s="81" t="str">
        <f t="shared" si="23"/>
        <v/>
      </c>
      <c r="O273" s="81" t="str">
        <f t="shared" si="24"/>
        <v/>
      </c>
      <c r="P273" s="81" t="str">
        <f t="shared" si="25"/>
        <v/>
      </c>
      <c r="Q273" s="81" t="str">
        <f t="shared" si="26"/>
        <v/>
      </c>
    </row>
    <row r="274" spans="6:17" x14ac:dyDescent="0.25">
      <c r="F274" s="81" t="str">
        <f>IF($B274="","",IF(SUMIF(Grades!$A:$A,$B$2,Grades!$BO:$BO)=0,"-",IF(AND(VLOOKUP($B$2,Grades!$A:$BV,74,FALSE)="YES",B274&lt;Thresholds_Rates!$C$16),"-",$C274*Thresholds_Rates!$F$15)))</f>
        <v/>
      </c>
      <c r="M274" s="81" t="str">
        <f t="shared" si="22"/>
        <v/>
      </c>
      <c r="N274" s="81" t="str">
        <f t="shared" si="23"/>
        <v/>
      </c>
      <c r="O274" s="81" t="str">
        <f t="shared" si="24"/>
        <v/>
      </c>
      <c r="P274" s="81" t="str">
        <f t="shared" si="25"/>
        <v/>
      </c>
      <c r="Q274" s="81" t="str">
        <f t="shared" si="26"/>
        <v/>
      </c>
    </row>
    <row r="275" spans="6:17" x14ac:dyDescent="0.25">
      <c r="F275" s="81" t="str">
        <f>IF($B275="","",IF(SUMIF(Grades!$A:$A,$B$2,Grades!$BO:$BO)=0,"-",IF(AND(VLOOKUP($B$2,Grades!$A:$BV,74,FALSE)="YES",B275&lt;Thresholds_Rates!$C$16),"-",$C275*Thresholds_Rates!$F$15)))</f>
        <v/>
      </c>
      <c r="M275" s="81" t="str">
        <f t="shared" si="22"/>
        <v/>
      </c>
      <c r="N275" s="81" t="str">
        <f t="shared" si="23"/>
        <v/>
      </c>
      <c r="O275" s="81" t="str">
        <f t="shared" si="24"/>
        <v/>
      </c>
      <c r="P275" s="81" t="str">
        <f t="shared" si="25"/>
        <v/>
      </c>
      <c r="Q275" s="81" t="str">
        <f t="shared" si="26"/>
        <v/>
      </c>
    </row>
    <row r="276" spans="6:17" x14ac:dyDescent="0.25">
      <c r="F276" s="81" t="str">
        <f>IF($B276="","",IF(SUMIF(Grades!$A:$A,$B$2,Grades!$BO:$BO)=0,"-",IF(AND(VLOOKUP($B$2,Grades!$A:$BV,74,FALSE)="YES",B276&lt;Thresholds_Rates!$C$16),"-",$C276*Thresholds_Rates!$F$15)))</f>
        <v/>
      </c>
      <c r="M276" s="81" t="str">
        <f t="shared" si="22"/>
        <v/>
      </c>
      <c r="N276" s="81" t="str">
        <f t="shared" si="23"/>
        <v/>
      </c>
      <c r="O276" s="81" t="str">
        <f t="shared" si="24"/>
        <v/>
      </c>
      <c r="P276" s="81" t="str">
        <f t="shared" si="25"/>
        <v/>
      </c>
      <c r="Q276" s="81" t="str">
        <f t="shared" si="26"/>
        <v/>
      </c>
    </row>
    <row r="277" spans="6:17" x14ac:dyDescent="0.25">
      <c r="F277" s="81" t="str">
        <f>IF($B277="","",IF(SUMIF(Grades!$A:$A,$B$2,Grades!$BO:$BO)=0,"-",IF(AND(VLOOKUP($B$2,Grades!$A:$BV,74,FALSE)="YES",B277&lt;Thresholds_Rates!$C$16),"-",$C277*Thresholds_Rates!$F$15)))</f>
        <v/>
      </c>
      <c r="M277" s="81" t="str">
        <f t="shared" si="22"/>
        <v/>
      </c>
      <c r="N277" s="81" t="str">
        <f t="shared" si="23"/>
        <v/>
      </c>
      <c r="O277" s="81" t="str">
        <f t="shared" si="24"/>
        <v/>
      </c>
      <c r="P277" s="81" t="str">
        <f t="shared" si="25"/>
        <v/>
      </c>
      <c r="Q277" s="81" t="str">
        <f t="shared" si="26"/>
        <v/>
      </c>
    </row>
    <row r="278" spans="6:17" x14ac:dyDescent="0.25">
      <c r="F278" s="81" t="str">
        <f>IF($B278="","",IF(SUMIF(Grades!$A:$A,$B$2,Grades!$BO:$BO)=0,"-",IF(AND(VLOOKUP($B$2,Grades!$A:$BV,74,FALSE)="YES",B278&lt;Thresholds_Rates!$C$16),"-",$C278*Thresholds_Rates!$F$15)))</f>
        <v/>
      </c>
      <c r="M278" s="81" t="str">
        <f t="shared" si="22"/>
        <v/>
      </c>
      <c r="N278" s="81" t="str">
        <f t="shared" si="23"/>
        <v/>
      </c>
      <c r="O278" s="81" t="str">
        <f t="shared" si="24"/>
        <v/>
      </c>
      <c r="P278" s="81" t="str">
        <f t="shared" si="25"/>
        <v/>
      </c>
      <c r="Q278" s="81" t="str">
        <f t="shared" si="26"/>
        <v/>
      </c>
    </row>
    <row r="279" spans="6:17" x14ac:dyDescent="0.25">
      <c r="F279" s="81" t="str">
        <f>IF($B279="","",IF(SUMIF(Grades!$A:$A,$B$2,Grades!$BO:$BO)=0,"-",IF(AND(VLOOKUP($B$2,Grades!$A:$BV,74,FALSE)="YES",B279&lt;Thresholds_Rates!$C$16),"-",$C279*Thresholds_Rates!$F$15)))</f>
        <v/>
      </c>
      <c r="M279" s="81" t="str">
        <f t="shared" si="22"/>
        <v/>
      </c>
      <c r="N279" s="81" t="str">
        <f t="shared" si="23"/>
        <v/>
      </c>
      <c r="O279" s="81" t="str">
        <f t="shared" si="24"/>
        <v/>
      </c>
      <c r="P279" s="81" t="str">
        <f t="shared" si="25"/>
        <v/>
      </c>
      <c r="Q279" s="81" t="str">
        <f t="shared" si="26"/>
        <v/>
      </c>
    </row>
    <row r="280" spans="6:17" x14ac:dyDescent="0.25">
      <c r="F280" s="81" t="str">
        <f>IF($B280="","",IF(SUMIF(Grades!$A:$A,$B$2,Grades!$BO:$BO)=0,"-",IF(AND(VLOOKUP($B$2,Grades!$A:$BV,74,FALSE)="YES",B280&lt;Thresholds_Rates!$C$16),"-",$C280*Thresholds_Rates!$F$15)))</f>
        <v/>
      </c>
      <c r="M280" s="81" t="str">
        <f t="shared" si="22"/>
        <v/>
      </c>
      <c r="N280" s="81" t="str">
        <f t="shared" si="23"/>
        <v/>
      </c>
      <c r="O280" s="81" t="str">
        <f t="shared" si="24"/>
        <v/>
      </c>
      <c r="P280" s="81" t="str">
        <f t="shared" si="25"/>
        <v/>
      </c>
      <c r="Q280" s="81" t="str">
        <f t="shared" si="26"/>
        <v/>
      </c>
    </row>
    <row r="281" spans="6:17" x14ac:dyDescent="0.25">
      <c r="F281" s="81" t="str">
        <f>IF($B281="","",IF(SUMIF(Grades!$A:$A,$B$2,Grades!$BO:$BO)=0,"-",IF(AND(VLOOKUP($B$2,Grades!$A:$BV,74,FALSE)="YES",B281&lt;Thresholds_Rates!$C$16),"-",$C281*Thresholds_Rates!$F$15)))</f>
        <v/>
      </c>
      <c r="M281" s="81" t="str">
        <f t="shared" si="22"/>
        <v/>
      </c>
      <c r="N281" s="81" t="str">
        <f t="shared" si="23"/>
        <v/>
      </c>
      <c r="O281" s="81" t="str">
        <f t="shared" si="24"/>
        <v/>
      </c>
      <c r="P281" s="81" t="str">
        <f t="shared" si="25"/>
        <v/>
      </c>
      <c r="Q281" s="81" t="str">
        <f t="shared" si="26"/>
        <v/>
      </c>
    </row>
    <row r="282" spans="6:17" x14ac:dyDescent="0.25">
      <c r="F282" s="81" t="str">
        <f>IF($B282="","",IF(SUMIF(Grades!$A:$A,$B$2,Grades!$BO:$BO)=0,"-",IF(AND(VLOOKUP($B$2,Grades!$A:$BV,74,FALSE)="YES",B282&lt;Thresholds_Rates!$C$16),"-",$C282*Thresholds_Rates!$F$15)))</f>
        <v/>
      </c>
      <c r="M282" s="81" t="str">
        <f t="shared" si="22"/>
        <v/>
      </c>
      <c r="N282" s="81" t="str">
        <f t="shared" si="23"/>
        <v/>
      </c>
      <c r="O282" s="81" t="str">
        <f t="shared" si="24"/>
        <v/>
      </c>
      <c r="P282" s="81" t="str">
        <f t="shared" si="25"/>
        <v/>
      </c>
      <c r="Q282" s="81" t="str">
        <f t="shared" si="26"/>
        <v/>
      </c>
    </row>
    <row r="283" spans="6:17" x14ac:dyDescent="0.25">
      <c r="F283" s="81" t="str">
        <f>IF($B283="","",IF(SUMIF(Grades!$A:$A,$B$2,Grades!$BO:$BO)=0,"-",IF(AND(VLOOKUP($B$2,Grades!$A:$BV,74,FALSE)="YES",B283&lt;Thresholds_Rates!$C$16),"-",$C283*Thresholds_Rates!$F$15)))</f>
        <v/>
      </c>
      <c r="M283" s="81" t="str">
        <f t="shared" si="22"/>
        <v/>
      </c>
      <c r="N283" s="81" t="str">
        <f t="shared" si="23"/>
        <v/>
      </c>
      <c r="O283" s="81" t="str">
        <f t="shared" si="24"/>
        <v/>
      </c>
      <c r="P283" s="81" t="str">
        <f t="shared" si="25"/>
        <v/>
      </c>
      <c r="Q283" s="81" t="str">
        <f t="shared" si="26"/>
        <v/>
      </c>
    </row>
    <row r="284" spans="6:17" x14ac:dyDescent="0.25">
      <c r="F284" s="81" t="str">
        <f>IF($B284="","",IF(SUMIF(Grades!$A:$A,$B$2,Grades!$BO:$BO)=0,"-",IF(AND(VLOOKUP($B$2,Grades!$A:$BV,74,FALSE)="YES",B284&lt;Thresholds_Rates!$C$16),"-",$C284*Thresholds_Rates!$F$15)))</f>
        <v/>
      </c>
      <c r="M284" s="81" t="str">
        <f t="shared" si="22"/>
        <v/>
      </c>
      <c r="N284" s="81" t="str">
        <f t="shared" si="23"/>
        <v/>
      </c>
      <c r="O284" s="81" t="str">
        <f t="shared" si="24"/>
        <v/>
      </c>
      <c r="P284" s="81" t="str">
        <f t="shared" si="25"/>
        <v/>
      </c>
      <c r="Q284" s="81" t="str">
        <f t="shared" si="26"/>
        <v/>
      </c>
    </row>
    <row r="285" spans="6:17" x14ac:dyDescent="0.25">
      <c r="F285" s="81" t="str">
        <f>IF($B285="","",IF(SUMIF(Grades!$A:$A,$B$2,Grades!$BO:$BO)=0,"-",IF(AND(VLOOKUP($B$2,Grades!$A:$BV,74,FALSE)="YES",B285&lt;Thresholds_Rates!$C$16),"-",$C285*Thresholds_Rates!$F$15)))</f>
        <v/>
      </c>
      <c r="M285" s="81" t="str">
        <f t="shared" si="22"/>
        <v/>
      </c>
      <c r="N285" s="81" t="str">
        <f t="shared" si="23"/>
        <v/>
      </c>
      <c r="O285" s="81" t="str">
        <f t="shared" si="24"/>
        <v/>
      </c>
      <c r="P285" s="81" t="str">
        <f t="shared" si="25"/>
        <v/>
      </c>
      <c r="Q285" s="81" t="str">
        <f t="shared" si="26"/>
        <v/>
      </c>
    </row>
    <row r="286" spans="6:17" x14ac:dyDescent="0.25">
      <c r="F286" s="81" t="str">
        <f>IF($B286="","",IF(SUMIF(Grades!$A:$A,$B$2,Grades!$BO:$BO)=0,"-",IF(AND(VLOOKUP($B$2,Grades!$A:$BV,74,FALSE)="YES",B286&lt;Thresholds_Rates!$C$16),"-",$C286*Thresholds_Rates!$F$15)))</f>
        <v/>
      </c>
      <c r="M286" s="81" t="str">
        <f t="shared" si="22"/>
        <v/>
      </c>
      <c r="N286" s="81" t="str">
        <f t="shared" si="23"/>
        <v/>
      </c>
      <c r="O286" s="81" t="str">
        <f t="shared" si="24"/>
        <v/>
      </c>
      <c r="P286" s="81" t="str">
        <f t="shared" si="25"/>
        <v/>
      </c>
      <c r="Q286" s="81" t="str">
        <f t="shared" si="26"/>
        <v/>
      </c>
    </row>
    <row r="287" spans="6:17" x14ac:dyDescent="0.25">
      <c r="F287" s="81" t="str">
        <f>IF($B287="","",IF(SUMIF(Grades!$A:$A,$B$2,Grades!$BO:$BO)=0,"-",IF(AND(VLOOKUP($B$2,Grades!$A:$BV,74,FALSE)="YES",B287&lt;Thresholds_Rates!$C$16),"-",$C287*Thresholds_Rates!$F$15)))</f>
        <v/>
      </c>
      <c r="M287" s="81" t="str">
        <f t="shared" si="22"/>
        <v/>
      </c>
      <c r="N287" s="81" t="str">
        <f t="shared" si="23"/>
        <v/>
      </c>
      <c r="O287" s="81" t="str">
        <f t="shared" si="24"/>
        <v/>
      </c>
      <c r="P287" s="81" t="str">
        <f t="shared" si="25"/>
        <v/>
      </c>
      <c r="Q287" s="81" t="str">
        <f t="shared" si="26"/>
        <v/>
      </c>
    </row>
    <row r="288" spans="6:17" x14ac:dyDescent="0.25">
      <c r="F288" s="81" t="str">
        <f>IF($B288="","",IF(SUMIF(Grades!$A:$A,$B$2,Grades!$BO:$BO)=0,"-",IF(AND(VLOOKUP($B$2,Grades!$A:$BV,74,FALSE)="YES",B288&lt;Thresholds_Rates!$C$16),"-",$C288*Thresholds_Rates!$F$15)))</f>
        <v/>
      </c>
      <c r="M288" s="81" t="str">
        <f t="shared" si="22"/>
        <v/>
      </c>
      <c r="N288" s="81" t="str">
        <f t="shared" si="23"/>
        <v/>
      </c>
      <c r="O288" s="81" t="str">
        <f t="shared" si="24"/>
        <v/>
      </c>
      <c r="P288" s="81" t="str">
        <f t="shared" si="25"/>
        <v/>
      </c>
      <c r="Q288" s="81" t="str">
        <f t="shared" si="26"/>
        <v/>
      </c>
    </row>
    <row r="289" spans="6:17" x14ac:dyDescent="0.25">
      <c r="F289" s="81" t="str">
        <f>IF($B289="","",IF(SUMIF(Grades!$A:$A,$B$2,Grades!$BO:$BO)=0,"-",IF(AND(VLOOKUP($B$2,Grades!$A:$BV,74,FALSE)="YES",B289&lt;Thresholds_Rates!$C$16),"-",$C289*Thresholds_Rates!$F$15)))</f>
        <v/>
      </c>
      <c r="M289" s="81" t="str">
        <f t="shared" si="22"/>
        <v/>
      </c>
      <c r="N289" s="81" t="str">
        <f t="shared" si="23"/>
        <v/>
      </c>
      <c r="O289" s="81" t="str">
        <f t="shared" si="24"/>
        <v/>
      </c>
      <c r="P289" s="81" t="str">
        <f t="shared" si="25"/>
        <v/>
      </c>
      <c r="Q289" s="81" t="str">
        <f t="shared" si="26"/>
        <v/>
      </c>
    </row>
    <row r="290" spans="6:17" x14ac:dyDescent="0.25">
      <c r="F290" s="81" t="str">
        <f>IF($B290="","",IF(SUMIF(Grades!$A:$A,$B$2,Grades!$BO:$BO)=0,"-",IF(AND(VLOOKUP($B$2,Grades!$A:$BV,74,FALSE)="YES",B290&lt;Thresholds_Rates!$C$16),"-",$C290*Thresholds_Rates!$F$15)))</f>
        <v/>
      </c>
      <c r="M290" s="81" t="str">
        <f t="shared" si="22"/>
        <v/>
      </c>
      <c r="N290" s="81" t="str">
        <f t="shared" si="23"/>
        <v/>
      </c>
      <c r="O290" s="81" t="str">
        <f t="shared" si="24"/>
        <v/>
      </c>
      <c r="P290" s="81" t="str">
        <f t="shared" si="25"/>
        <v/>
      </c>
      <c r="Q290" s="81" t="str">
        <f t="shared" si="26"/>
        <v/>
      </c>
    </row>
    <row r="291" spans="6:17" x14ac:dyDescent="0.25">
      <c r="F291" s="81" t="str">
        <f>IF($B291="","",IF(SUMIF(Grades!$A:$A,$B$2,Grades!$BO:$BO)=0,"-",IF(AND(VLOOKUP($B$2,Grades!$A:$BV,74,FALSE)="YES",B291&lt;Thresholds_Rates!$C$16),"-",$C291*Thresholds_Rates!$F$15)))</f>
        <v/>
      </c>
      <c r="M291" s="81" t="str">
        <f t="shared" si="22"/>
        <v/>
      </c>
      <c r="N291" s="81" t="str">
        <f t="shared" si="23"/>
        <v/>
      </c>
      <c r="O291" s="81" t="str">
        <f t="shared" si="24"/>
        <v/>
      </c>
      <c r="P291" s="81" t="str">
        <f t="shared" si="25"/>
        <v/>
      </c>
      <c r="Q291" s="81" t="str">
        <f t="shared" si="26"/>
        <v/>
      </c>
    </row>
    <row r="292" spans="6:17" x14ac:dyDescent="0.25">
      <c r="F292" s="81" t="str">
        <f>IF($B292="","",IF(SUMIF(Grades!$A:$A,$B$2,Grades!$BO:$BO)=0,"-",IF(AND(VLOOKUP($B$2,Grades!$A:$BV,74,FALSE)="YES",B292&lt;Thresholds_Rates!$C$16),"-",$C292*Thresholds_Rates!$F$15)))</f>
        <v/>
      </c>
      <c r="M292" s="81" t="str">
        <f t="shared" si="22"/>
        <v/>
      </c>
      <c r="N292" s="81" t="str">
        <f t="shared" si="23"/>
        <v/>
      </c>
      <c r="O292" s="81" t="str">
        <f t="shared" si="24"/>
        <v/>
      </c>
      <c r="P292" s="81" t="str">
        <f t="shared" si="25"/>
        <v/>
      </c>
      <c r="Q292" s="81" t="str">
        <f t="shared" si="26"/>
        <v/>
      </c>
    </row>
    <row r="293" spans="6:17" x14ac:dyDescent="0.25">
      <c r="F293" s="81" t="str">
        <f>IF($B293="","",IF(SUMIF(Grades!$A:$A,$B$2,Grades!$BO:$BO)=0,"-",IF(AND(VLOOKUP($B$2,Grades!$A:$BV,74,FALSE)="YES",B293&lt;Thresholds_Rates!$C$16),"-",$C293*Thresholds_Rates!$F$15)))</f>
        <v/>
      </c>
      <c r="M293" s="81" t="str">
        <f t="shared" si="22"/>
        <v/>
      </c>
      <c r="N293" s="81" t="str">
        <f t="shared" si="23"/>
        <v/>
      </c>
      <c r="O293" s="81" t="str">
        <f t="shared" si="24"/>
        <v/>
      </c>
      <c r="P293" s="81" t="str">
        <f t="shared" si="25"/>
        <v/>
      </c>
      <c r="Q293" s="81" t="str">
        <f t="shared" si="26"/>
        <v/>
      </c>
    </row>
    <row r="294" spans="6:17" x14ac:dyDescent="0.25">
      <c r="M294" s="81" t="str">
        <f t="shared" si="22"/>
        <v/>
      </c>
      <c r="N294" s="81" t="str">
        <f t="shared" si="23"/>
        <v/>
      </c>
      <c r="O294" s="81" t="str">
        <f t="shared" si="24"/>
        <v/>
      </c>
      <c r="P294" s="81" t="str">
        <f t="shared" si="25"/>
        <v/>
      </c>
      <c r="Q294" s="81" t="str">
        <f t="shared" si="26"/>
        <v/>
      </c>
    </row>
    <row r="295" spans="6:17" x14ac:dyDescent="0.25">
      <c r="M295" s="81" t="str">
        <f t="shared" si="22"/>
        <v/>
      </c>
      <c r="N295" s="81" t="str">
        <f t="shared" si="23"/>
        <v/>
      </c>
      <c r="O295" s="81" t="str">
        <f t="shared" si="24"/>
        <v/>
      </c>
      <c r="P295" s="81" t="str">
        <f t="shared" si="25"/>
        <v/>
      </c>
      <c r="Q295" s="81" t="str">
        <f t="shared" si="26"/>
        <v/>
      </c>
    </row>
    <row r="296" spans="6:17" x14ac:dyDescent="0.25">
      <c r="M296" s="81" t="str">
        <f t="shared" si="22"/>
        <v/>
      </c>
      <c r="N296" s="81" t="str">
        <f t="shared" si="23"/>
        <v/>
      </c>
      <c r="O296" s="81" t="str">
        <f t="shared" si="24"/>
        <v/>
      </c>
      <c r="P296" s="81" t="str">
        <f t="shared" si="25"/>
        <v/>
      </c>
      <c r="Q296" s="81" t="str">
        <f t="shared" si="26"/>
        <v/>
      </c>
    </row>
    <row r="297" spans="6:17" x14ac:dyDescent="0.25">
      <c r="M297" s="81" t="str">
        <f t="shared" si="22"/>
        <v/>
      </c>
      <c r="N297" s="81" t="str">
        <f t="shared" si="23"/>
        <v/>
      </c>
      <c r="O297" s="81" t="str">
        <f t="shared" si="24"/>
        <v/>
      </c>
      <c r="P297" s="81" t="str">
        <f t="shared" si="25"/>
        <v/>
      </c>
      <c r="Q297" s="81" t="str">
        <f t="shared" si="26"/>
        <v/>
      </c>
    </row>
    <row r="298" spans="6:17" x14ac:dyDescent="0.25">
      <c r="M298" s="81" t="str">
        <f t="shared" si="22"/>
        <v/>
      </c>
      <c r="N298" s="81" t="str">
        <f t="shared" si="23"/>
        <v/>
      </c>
      <c r="O298" s="81" t="str">
        <f t="shared" si="24"/>
        <v/>
      </c>
      <c r="P298" s="81" t="str">
        <f t="shared" si="25"/>
        <v/>
      </c>
      <c r="Q298" s="81" t="str">
        <f t="shared" si="26"/>
        <v/>
      </c>
    </row>
    <row r="299" spans="6:17" x14ac:dyDescent="0.25">
      <c r="M299" s="81" t="str">
        <f t="shared" si="22"/>
        <v/>
      </c>
      <c r="N299" s="81" t="str">
        <f t="shared" si="23"/>
        <v/>
      </c>
      <c r="O299" s="81" t="str">
        <f t="shared" si="24"/>
        <v/>
      </c>
      <c r="P299" s="81" t="str">
        <f t="shared" si="25"/>
        <v/>
      </c>
      <c r="Q299" s="81" t="str">
        <f t="shared" si="26"/>
        <v/>
      </c>
    </row>
    <row r="300" spans="6:17" x14ac:dyDescent="0.25">
      <c r="M300" s="81" t="str">
        <f t="shared" ref="M300:M301" si="27">IF(B300="","",IF(F300="-","-",$C300+$I300+F300))</f>
        <v/>
      </c>
      <c r="N300" s="81" t="str">
        <f t="shared" ref="N300:N301" si="28">IF(B300="","",IF(G300="-","-",$C300+$I300+G300))</f>
        <v/>
      </c>
      <c r="O300" s="81" t="str">
        <f t="shared" ref="O300:O301" si="29">IF(B300="","",IF(H300="-","-",$C300+$I300+H300))</f>
        <v/>
      </c>
      <c r="P300" s="81" t="str">
        <f t="shared" ref="P300:P301" si="30">IF(B300="","",IF(K300="-","-",$C300+$I300+K300))</f>
        <v/>
      </c>
      <c r="Q300" s="81" t="str">
        <f t="shared" ref="Q300:Q301" si="31">IF(B300="","",C300+I300)</f>
        <v/>
      </c>
    </row>
    <row r="301" spans="6:17" x14ac:dyDescent="0.25">
      <c r="M301" s="81" t="str">
        <f t="shared" si="27"/>
        <v/>
      </c>
      <c r="N301" s="81" t="str">
        <f t="shared" si="28"/>
        <v/>
      </c>
      <c r="O301" s="81" t="str">
        <f t="shared" si="29"/>
        <v/>
      </c>
      <c r="P301" s="81" t="str">
        <f t="shared" si="30"/>
        <v/>
      </c>
      <c r="Q301" s="81" t="str">
        <f t="shared" si="31"/>
        <v/>
      </c>
    </row>
  </sheetData>
  <mergeCells count="7">
    <mergeCell ref="U4:V4"/>
    <mergeCell ref="B2:C2"/>
    <mergeCell ref="F2:K2"/>
    <mergeCell ref="B4:D4"/>
    <mergeCell ref="F4:K4"/>
    <mergeCell ref="M4:Q4"/>
    <mergeCell ref="S4:T4"/>
  </mergeCells>
  <conditionalFormatting sqref="S4:V6">
    <cfRule type="expression" dxfId="9" priority="3">
      <formula>$S$6&lt;&gt;""</formula>
    </cfRule>
  </conditionalFormatting>
  <conditionalFormatting sqref="B7:Q7 C8:C171 D8:D61 B8:E9 G8:Q9 F8:F293 I8:I101">
    <cfRule type="containsBlanks" priority="2" stopIfTrue="1">
      <formula>LEN(TRIM(B7))=0</formula>
    </cfRule>
  </conditionalFormatting>
  <conditionalFormatting sqref="B4:D5">
    <cfRule type="expression" dxfId="8" priority="1">
      <formula>$B$4&lt;&gt;""</formula>
    </cfRule>
  </conditionalFormatting>
  <dataValidations count="1">
    <dataValidation type="list" allowBlank="1" showInputMessage="1" showErrorMessage="1" sqref="B2:C2" xr:uid="{88BD25A0-2632-4CD7-91F9-FB61859CDCBB}">
      <formula1>LIST</formula1>
    </dataValidation>
  </dataValidations>
  <printOptions horizontalCentered="1"/>
  <pageMargins left="0.23622047244094491" right="0.23622047244094491" top="0.74803149606299213" bottom="0.39370078740157483" header="0.27559055118110237" footer="0.31496062992125984"/>
  <pageSetup paperSize="9" scale="54" orientation="landscape" r:id="rId1"/>
  <headerFooter>
    <oddHeader>&amp;C&amp;"-,Bold"&amp;20Pay Award Date: 01/08/2019 (01/04/2021 for Clinical Grades)
National Insurance: 2021/22 Tax Year</oddHeader>
    <oddFooter>&amp;CVersion 1, last changed 07/04/2021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4" id="{652D8277-B9CE-42F5-AFD1-F08304B74615}">
            <xm:f>$B7=Thresholds_Rates!$C$15</xm:f>
            <x14:dxf>
              <font>
                <b/>
                <i val="0"/>
              </font>
              <fill>
                <patternFill>
                  <bgColor rgb="FFFFC000"/>
                </patternFill>
              </fill>
              <border>
                <left/>
                <right/>
                <top/>
                <bottom/>
                <vertical/>
                <horizontal/>
              </border>
            </x14:dxf>
          </x14:cfRule>
          <xm:sqref>M172:Q301 B7:Q7 B8:E171 F8:F293 G8:Q171</xm:sqref>
        </x14:conditionalFormatting>
        <x14:conditionalFormatting xmlns:xm="http://schemas.microsoft.com/office/excel/2006/main">
          <x14:cfRule type="expression" priority="5" id="{0D784650-8011-421D-B85B-37AD2F108C0D}">
            <xm:f>AND(Thresholds_Rates!$C$15=0,$B$2&lt;&gt;"O&amp;F Level 1",$B$2&lt;&gt;"O&amp;F Level 2")</xm:f>
            <x14:dxf>
              <numFmt numFmtId="0" formatCode="General"/>
              <fill>
                <patternFill patternType="none">
                  <bgColor auto="1"/>
                </patternFill>
              </fill>
              <border>
                <left/>
                <right/>
                <top/>
                <bottom/>
                <vertical/>
                <horizontal/>
              </border>
            </x14:dxf>
          </x14:cfRule>
          <xm:sqref>F2</xm:sqref>
        </x14:conditionalFormatting>
        <x14:conditionalFormatting xmlns:xm="http://schemas.microsoft.com/office/excel/2006/main">
          <x14:cfRule type="expression" priority="6" id="{B2FD2F86-F557-45E5-82A6-35ADC34268B9}">
            <xm:f>AND($B7=Thresholds_Rates!$C$15,$S$6&lt;&gt;"")</xm:f>
            <x14:dxf>
              <font>
                <b/>
                <i val="0"/>
              </font>
              <fill>
                <patternFill>
                  <bgColor rgb="FFFFC000"/>
                </patternFill>
              </fill>
            </x14:dxf>
          </x14:cfRule>
          <xm:sqref>R7:V171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F35EC9515766340858D70EECC5AD921" ma:contentTypeVersion="16" ma:contentTypeDescription="Create a new document." ma:contentTypeScope="" ma:versionID="a0447af0e1470f8e9cd9c2d3dd6c3179">
  <xsd:schema xmlns:xsd="http://www.w3.org/2001/XMLSchema" xmlns:xs="http://www.w3.org/2001/XMLSchema" xmlns:p="http://schemas.microsoft.com/office/2006/metadata/properties" xmlns:ns2="55e6b1b4-372c-45e8-b6d9-3db6e31442bc" xmlns:ns3="f1d7a1b8-d8de-46d6-a72a-8bafd3f2a678" targetNamespace="http://schemas.microsoft.com/office/2006/metadata/properties" ma:root="true" ma:fieldsID="3a6278ff5e24b122d2b26d4b2d6a4be6" ns2:_="" ns3:_="">
    <xsd:import namespace="55e6b1b4-372c-45e8-b6d9-3db6e31442bc"/>
    <xsd:import namespace="f1d7a1b8-d8de-46d6-a72a-8bafd3f2a678"/>
    <xsd:element name="properties">
      <xsd:complexType>
        <xsd:sequence>
          <xsd:element name="documentManagement">
            <xsd:complexType>
              <xsd:all>
                <xsd:element ref="ns2:Frequency" minOccurs="0"/>
                <xsd:element ref="ns3:SharedWithUsers" minOccurs="0"/>
                <xsd:element ref="ns3:SharedWithDetails" minOccurs="0"/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e6b1b4-372c-45e8-b6d9-3db6e31442bc" elementFormDefault="qualified">
    <xsd:import namespace="http://schemas.microsoft.com/office/2006/documentManagement/types"/>
    <xsd:import namespace="http://schemas.microsoft.com/office/infopath/2007/PartnerControls"/>
    <xsd:element name="Frequency" ma:index="2" nillable="true" ma:displayName="Frequency" ma:format="Dropdown" ma:internalName="Frequency" ma:readOnly="false">
      <xsd:simpleType>
        <xsd:restriction base="dms:Text">
          <xsd:maxLength value="255"/>
        </xsd:restriction>
      </xsd:simpleType>
    </xsd:element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d7a1b8-d8de-46d6-a72a-8bafd3f2a67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hidden="true" ma:internalName="SharedWithDetail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0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requency xmlns="55e6b1b4-372c-45e8-b6d9-3db6e31442bc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D69E8C8-F635-4E8F-BB95-77CD9BD5D21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5e6b1b4-372c-45e8-b6d9-3db6e31442bc"/>
    <ds:schemaRef ds:uri="f1d7a1b8-d8de-46d6-a72a-8bafd3f2a67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8946396-F922-4773-98F3-7AD868D0046C}">
  <ds:schemaRefs>
    <ds:schemaRef ds:uri="http://schemas.microsoft.com/office/2006/metadata/properties"/>
    <ds:schemaRef ds:uri="http://schemas.microsoft.com/office/infopath/2007/PartnerControls"/>
    <ds:schemaRef ds:uri="55e6b1b4-372c-45e8-b6d9-3db6e31442bc"/>
  </ds:schemaRefs>
</ds:datastoreItem>
</file>

<file path=customXml/itemProps3.xml><?xml version="1.0" encoding="utf-8"?>
<ds:datastoreItem xmlns:ds="http://schemas.openxmlformats.org/officeDocument/2006/customXml" ds:itemID="{DA5F47D2-EB8C-494F-8215-7A4D9C6881D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6</vt:i4>
      </vt:variant>
    </vt:vector>
  </HeadingPairs>
  <TitlesOfParts>
    <vt:vector size="16" baseType="lpstr">
      <vt:lpstr>Level 1-6 Scale</vt:lpstr>
      <vt:lpstr>Level 7 Scale</vt:lpstr>
      <vt:lpstr>Level 7 R&amp;T Banded Scale</vt:lpstr>
      <vt:lpstr>Rates</vt:lpstr>
      <vt:lpstr>Notes &amp; Guidance</vt:lpstr>
      <vt:lpstr>Grades</vt:lpstr>
      <vt:lpstr>Points Lookup</vt:lpstr>
      <vt:lpstr>Thresholds_Rates</vt:lpstr>
      <vt:lpstr>RATES TEST SHEET</vt:lpstr>
      <vt:lpstr>Rates (old formulae)</vt:lpstr>
      <vt:lpstr>'Level 1-6 Scale'!Print_Area</vt:lpstr>
      <vt:lpstr>'Level 7 R&amp;T Banded Scale'!Print_Area</vt:lpstr>
      <vt:lpstr>'Level 7 Scale'!Print_Area</vt:lpstr>
      <vt:lpstr>'Rates (old formulae)'!Print_Area</vt:lpstr>
      <vt:lpstr>'RATES TEST SHEET'!Print_Area</vt:lpstr>
      <vt:lpstr>'Level 1-6 Scale'!Print_Titles</vt:lpstr>
    </vt:vector>
  </TitlesOfParts>
  <Manager/>
  <Company>The University of Nottingham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Salary-Scales-On-Costs-Pay-Award-Aug-2014-(April-2014-NI)</dc:title>
  <dc:subject/>
  <dc:creator>Tanya Robinson</dc:creator>
  <cp:keywords/>
  <dc:description/>
  <cp:lastModifiedBy>Rachel Earl</cp:lastModifiedBy>
  <cp:revision/>
  <dcterms:created xsi:type="dcterms:W3CDTF">2011-11-03T09:54:30Z</dcterms:created>
  <dcterms:modified xsi:type="dcterms:W3CDTF">2021-11-05T09:48:51Z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0x010100BF35EC9515766340858D70EECC5AD921</vt:lpwstr>
  </property>
</Properties>
</file>