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fnottm.sharepoint.com/sites/O365-HRMIS/Shared Documents/General/02 Salary Scales/2023 02 Salary Scales Feb 23/"/>
    </mc:Choice>
  </mc:AlternateContent>
  <xr:revisionPtr revIDLastSave="153" documentId="8_{902BFDDB-8EC0-4CA0-BF6A-B3A03A3C5829}" xr6:coauthVersionLast="47" xr6:coauthVersionMax="47" xr10:uidLastSave="{DB450A36-448A-4738-949D-AFFC63FC0758}"/>
  <workbookProtection workbookAlgorithmName="SHA-512" workbookHashValue="kbSCmUCppjcVM9PyukCMZE5b8Cg15Qsvu76YQh/+arqYJ+az15dm/z862xlETYrad3NQ30jUAJBhNAuCzJ9JlA==" workbookSaltValue="UGrQNGMO+I66sfuWo+JORQ==" workbookSpinCount="100000" lockStructure="1"/>
  <bookViews>
    <workbookView xWindow="-28920" yWindow="-2670" windowWidth="29040" windowHeight="15840" tabRatio="869" xr2:uid="{00000000-000D-0000-FFFF-FFFF00000000}"/>
  </bookViews>
  <sheets>
    <sheet name="Level 1-6 Scale" sheetId="12" r:id="rId1"/>
    <sheet name="Apprenticeship Scale" sheetId="15" r:id="rId2"/>
    <sheet name="Level 7 Scale" sheetId="8" r:id="rId3"/>
    <sheet name="Level 7 R&amp;T Banded Scale" sheetId="10" r:id="rId4"/>
    <sheet name="Clinical Scales" sheetId="14" r:id="rId5"/>
    <sheet name="Rates" sheetId="1" r:id="rId6"/>
    <sheet name="Notes &amp; Guidance" sheetId="5" r:id="rId7"/>
    <sheet name="Grades" sheetId="2" state="hidden" r:id="rId8"/>
    <sheet name="Points Lookup" sheetId="4" state="hidden" r:id="rId9"/>
    <sheet name="Thresholds_Rates" sheetId="7" state="hidden" r:id="rId10"/>
  </sheets>
  <definedNames>
    <definedName name="_xlnm._FilterDatabase" localSheetId="7" hidden="1">Grades!$A$6:$BZ$49</definedName>
    <definedName name="LIST">OFFSET(Grades!$A$7,0,0,COUNTA(Grades!$A:$A)-1,1)</definedName>
    <definedName name="_xlnm.Print_Area" localSheetId="1">'Apprenticeship Scale'!$B$3:$E$22</definedName>
    <definedName name="_xlnm.Print_Area" localSheetId="4">'Clinical Scales'!$B$3:$E$45</definedName>
    <definedName name="_xlnm.Print_Area" localSheetId="0">'Level 1-6 Scale'!$B$12:$S$63</definedName>
    <definedName name="_xlnm.Print_Area" localSheetId="3">'Level 7 R&amp;T Banded Scale'!$B$3:$I$34</definedName>
    <definedName name="_xlnm.Print_Area" localSheetId="2">'Level 7 Scale'!$B$3:$I$44</definedName>
    <definedName name="_xlnm.Print_Area" localSheetId="6">'Notes &amp; Guidance'!$A$1:$D$34</definedName>
    <definedName name="_xlnm.Print_Area" localSheetId="5">Rates!$A$1:$V$67</definedName>
    <definedName name="_xlnm.Print_Titles" localSheetId="0">'Level 1-6 Scale'!$4:$5</definedName>
    <definedName name="_xlnm.Print_Titles" localSheetId="5">Rates!$10:$10</definedName>
    <definedName name="RATES_dyn_print_area">OFFSET(Rates!$A$1,0,0,VLOOKUP(Rates!$C$6,Grades!$A:$F,2,FALSE)+7,IF(Rates!$S$9="AVA Details",22,17))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2" l="1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L14" i="12"/>
  <c r="K14" i="12"/>
  <c r="BZ9" i="2"/>
  <c r="BY9" i="2"/>
  <c r="BX9" i="2"/>
  <c r="BW9" i="2"/>
  <c r="BV9" i="2"/>
  <c r="BU9" i="2"/>
  <c r="F9" i="2"/>
  <c r="B22" i="15" l="1"/>
  <c r="B20" i="15"/>
  <c r="D35" i="14"/>
  <c r="D36" i="14"/>
  <c r="D37" i="14"/>
  <c r="D38" i="14"/>
  <c r="D39" i="14"/>
  <c r="D40" i="14"/>
  <c r="D41" i="14"/>
  <c r="D34" i="14"/>
  <c r="B45" i="14"/>
  <c r="B43" i="14"/>
  <c r="C41" i="14"/>
  <c r="C40" i="14"/>
  <c r="C39" i="14"/>
  <c r="C38" i="14"/>
  <c r="C37" i="14"/>
  <c r="C36" i="14"/>
  <c r="C35" i="14"/>
  <c r="C34" i="14"/>
  <c r="C29" i="14"/>
  <c r="C28" i="14"/>
  <c r="C27" i="14"/>
  <c r="C26" i="14"/>
  <c r="C25" i="14"/>
  <c r="C24" i="14"/>
  <c r="C23" i="14"/>
  <c r="C22" i="14"/>
  <c r="C21" i="14"/>
  <c r="C20" i="14"/>
  <c r="C19" i="14"/>
  <c r="C14" i="14"/>
  <c r="C13" i="14"/>
  <c r="C12" i="14"/>
  <c r="C11" i="14"/>
  <c r="C10" i="14"/>
  <c r="B63" i="12" l="1"/>
  <c r="B62" i="12"/>
  <c r="BX27" i="2" l="1"/>
  <c r="BW27" i="2"/>
  <c r="BZ27" i="2" s="1"/>
  <c r="BV27" i="2"/>
  <c r="BU27" i="2"/>
  <c r="BY27" i="2" s="1"/>
  <c r="BX26" i="2"/>
  <c r="BW26" i="2"/>
  <c r="BZ26" i="2" s="1"/>
  <c r="BV26" i="2"/>
  <c r="BU26" i="2"/>
  <c r="BY26" i="2" s="1"/>
  <c r="BX25" i="2"/>
  <c r="BW25" i="2"/>
  <c r="BV25" i="2"/>
  <c r="BU25" i="2"/>
  <c r="BY25" i="2" s="1"/>
  <c r="F26" i="2"/>
  <c r="F27" i="2"/>
  <c r="F25" i="2"/>
  <c r="F12" i="2"/>
  <c r="B32" i="10"/>
  <c r="B42" i="8"/>
  <c r="C2" i="1"/>
  <c r="D19" i="5"/>
  <c r="BZ25" i="2" l="1"/>
  <c r="C3" i="1"/>
  <c r="C4" i="1"/>
  <c r="B34" i="10"/>
  <c r="B44" i="8"/>
  <c r="A1" i="2" l="1"/>
  <c r="C9" i="1" s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BZ38" i="2"/>
  <c r="BZ39" i="2"/>
  <c r="BZ40" i="2"/>
  <c r="BZ41" i="2"/>
  <c r="BV37" i="2"/>
  <c r="BW37" i="2"/>
  <c r="BX37" i="2"/>
  <c r="BY37" i="2"/>
  <c r="BY38" i="2"/>
  <c r="BY39" i="2"/>
  <c r="BY40" i="2"/>
  <c r="BY41" i="2"/>
  <c r="X5" i="4"/>
  <c r="X6" i="4"/>
  <c r="X7" i="4"/>
  <c r="X8" i="4"/>
  <c r="X9" i="4"/>
  <c r="X10" i="4"/>
  <c r="X11" i="4"/>
  <c r="X12" i="4"/>
  <c r="X13" i="4"/>
  <c r="X14" i="4"/>
  <c r="X15" i="4"/>
  <c r="X16" i="4"/>
  <c r="X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4" i="4"/>
  <c r="AM10" i="4"/>
  <c r="C14" i="15" s="1"/>
  <c r="AM11" i="4"/>
  <c r="C15" i="15" s="1"/>
  <c r="AM12" i="4"/>
  <c r="C16" i="15" s="1"/>
  <c r="AM13" i="4"/>
  <c r="C17" i="15" s="1"/>
  <c r="AM14" i="4"/>
  <c r="C18" i="15" s="1"/>
  <c r="BZ37" i="2" l="1"/>
  <c r="D10" i="1"/>
  <c r="F37" i="2"/>
  <c r="F41" i="2"/>
  <c r="F40" i="2"/>
  <c r="F39" i="2"/>
  <c r="F38" i="2"/>
  <c r="F48" i="2"/>
  <c r="F36" i="2"/>
  <c r="V10" i="1" l="1"/>
  <c r="S9" i="1"/>
  <c r="S10" i="1"/>
  <c r="T10" i="1"/>
  <c r="U10" i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AM4" i="4" s="1"/>
  <c r="C8" i="15" s="1"/>
  <c r="E62" i="4"/>
  <c r="E61" i="4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11" i="10"/>
  <c r="BU48" i="2" l="1"/>
  <c r="BY48" i="2" s="1"/>
  <c r="BV48" i="2"/>
  <c r="BW48" i="2"/>
  <c r="BX48" i="2"/>
  <c r="BU47" i="2"/>
  <c r="BY47" i="2" s="1"/>
  <c r="BV47" i="2"/>
  <c r="BW47" i="2"/>
  <c r="BX47" i="2"/>
  <c r="F47" i="2"/>
  <c r="BZ48" i="2" l="1"/>
  <c r="BZ47" i="2"/>
  <c r="AM7" i="4" l="1"/>
  <c r="C11" i="15" s="1"/>
  <c r="BX21" i="2" l="1"/>
  <c r="BW21" i="2"/>
  <c r="BV21" i="2"/>
  <c r="BU21" i="2"/>
  <c r="BY21" i="2" s="1"/>
  <c r="F21" i="2"/>
  <c r="BZ21" i="2" l="1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15" i="8"/>
  <c r="C12" i="7" l="1"/>
  <c r="F6" i="1" s="1"/>
  <c r="C15" i="7"/>
  <c r="BX46" i="2" l="1"/>
  <c r="BW46" i="2"/>
  <c r="BV46" i="2"/>
  <c r="BU46" i="2"/>
  <c r="BY46" i="2" s="1"/>
  <c r="F46" i="2"/>
  <c r="BX45" i="2"/>
  <c r="BW45" i="2"/>
  <c r="BV45" i="2"/>
  <c r="BU45" i="2"/>
  <c r="BY45" i="2" s="1"/>
  <c r="F45" i="2"/>
  <c r="BX44" i="2"/>
  <c r="BW44" i="2"/>
  <c r="BV44" i="2"/>
  <c r="BU44" i="2"/>
  <c r="BY44" i="2" s="1"/>
  <c r="F44" i="2"/>
  <c r="BX43" i="2"/>
  <c r="BW43" i="2"/>
  <c r="BV43" i="2"/>
  <c r="BU43" i="2"/>
  <c r="BY43" i="2" s="1"/>
  <c r="F43" i="2"/>
  <c r="BX42" i="2"/>
  <c r="BW42" i="2"/>
  <c r="BV42" i="2"/>
  <c r="BU42" i="2"/>
  <c r="BY42" i="2" s="1"/>
  <c r="F42" i="2"/>
  <c r="BX49" i="2"/>
  <c r="BW49" i="2"/>
  <c r="BV49" i="2"/>
  <c r="BU49" i="2"/>
  <c r="BY49" i="2" s="1"/>
  <c r="F49" i="2"/>
  <c r="BX36" i="2"/>
  <c r="BW36" i="2"/>
  <c r="BV36" i="2"/>
  <c r="BU36" i="2"/>
  <c r="BY36" i="2" s="1"/>
  <c r="BX35" i="2"/>
  <c r="BW35" i="2"/>
  <c r="BV35" i="2"/>
  <c r="BU35" i="2"/>
  <c r="BY35" i="2" s="1"/>
  <c r="F35" i="2"/>
  <c r="BX34" i="2"/>
  <c r="BW34" i="2"/>
  <c r="BV34" i="2"/>
  <c r="BU34" i="2"/>
  <c r="BY34" i="2" s="1"/>
  <c r="F34" i="2"/>
  <c r="BX32" i="2"/>
  <c r="BW32" i="2"/>
  <c r="BV32" i="2"/>
  <c r="BU32" i="2"/>
  <c r="BY32" i="2" s="1"/>
  <c r="F32" i="2"/>
  <c r="BX33" i="2"/>
  <c r="BW33" i="2"/>
  <c r="BV33" i="2"/>
  <c r="BU33" i="2"/>
  <c r="BY33" i="2" s="1"/>
  <c r="F33" i="2"/>
  <c r="BX31" i="2"/>
  <c r="BW31" i="2"/>
  <c r="BV31" i="2"/>
  <c r="BU31" i="2"/>
  <c r="BY31" i="2" s="1"/>
  <c r="F31" i="2"/>
  <c r="BX29" i="2"/>
  <c r="BW29" i="2"/>
  <c r="BV29" i="2"/>
  <c r="BU29" i="2"/>
  <c r="BY29" i="2" s="1"/>
  <c r="F29" i="2"/>
  <c r="BX30" i="2"/>
  <c r="BW30" i="2"/>
  <c r="BV30" i="2"/>
  <c r="BU30" i="2"/>
  <c r="BY30" i="2" s="1"/>
  <c r="F30" i="2"/>
  <c r="BX28" i="2"/>
  <c r="BW28" i="2"/>
  <c r="BV28" i="2"/>
  <c r="BU28" i="2"/>
  <c r="BY28" i="2" s="1"/>
  <c r="F28" i="2"/>
  <c r="BX18" i="2"/>
  <c r="BW18" i="2"/>
  <c r="BV18" i="2"/>
  <c r="BU18" i="2"/>
  <c r="BY18" i="2" s="1"/>
  <c r="F18" i="2"/>
  <c r="BX23" i="2"/>
  <c r="BW23" i="2"/>
  <c r="BV23" i="2"/>
  <c r="BU23" i="2"/>
  <c r="BY23" i="2" s="1"/>
  <c r="F23" i="2"/>
  <c r="BX22" i="2"/>
  <c r="BW22" i="2"/>
  <c r="BV22" i="2"/>
  <c r="BU22" i="2"/>
  <c r="BY22" i="2" s="1"/>
  <c r="F22" i="2"/>
  <c r="BX24" i="2"/>
  <c r="BW24" i="2"/>
  <c r="BV24" i="2"/>
  <c r="BU24" i="2"/>
  <c r="BY24" i="2" s="1"/>
  <c r="F24" i="2"/>
  <c r="BX20" i="2"/>
  <c r="BW20" i="2"/>
  <c r="BV20" i="2"/>
  <c r="BU20" i="2"/>
  <c r="BY20" i="2" s="1"/>
  <c r="F20" i="2"/>
  <c r="BX19" i="2"/>
  <c r="BW19" i="2"/>
  <c r="BV19" i="2"/>
  <c r="BU19" i="2"/>
  <c r="BY19" i="2" s="1"/>
  <c r="F19" i="2"/>
  <c r="BX17" i="2"/>
  <c r="BW17" i="2"/>
  <c r="BV17" i="2"/>
  <c r="BU17" i="2"/>
  <c r="BY17" i="2" s="1"/>
  <c r="F17" i="2"/>
  <c r="BX16" i="2"/>
  <c r="BW16" i="2"/>
  <c r="BV16" i="2"/>
  <c r="BU16" i="2"/>
  <c r="BY16" i="2" s="1"/>
  <c r="F16" i="2"/>
  <c r="BX15" i="2"/>
  <c r="BW15" i="2"/>
  <c r="BV15" i="2"/>
  <c r="BU15" i="2"/>
  <c r="BY15" i="2" s="1"/>
  <c r="F15" i="2"/>
  <c r="BX14" i="2"/>
  <c r="BW14" i="2"/>
  <c r="BV14" i="2"/>
  <c r="BU14" i="2"/>
  <c r="BY14" i="2" s="1"/>
  <c r="F14" i="2"/>
  <c r="BX13" i="2"/>
  <c r="BW13" i="2"/>
  <c r="BV13" i="2"/>
  <c r="BU13" i="2"/>
  <c r="BY13" i="2" s="1"/>
  <c r="F13" i="2"/>
  <c r="BX12" i="2"/>
  <c r="BW12" i="2"/>
  <c r="BV12" i="2"/>
  <c r="BU12" i="2"/>
  <c r="BY12" i="2" s="1"/>
  <c r="BX11" i="2"/>
  <c r="BW11" i="2"/>
  <c r="BV11" i="2"/>
  <c r="BU11" i="2"/>
  <c r="BY11" i="2" s="1"/>
  <c r="F11" i="2"/>
  <c r="BX10" i="2"/>
  <c r="BW10" i="2"/>
  <c r="BV10" i="2"/>
  <c r="BU10" i="2"/>
  <c r="BY10" i="2" s="1"/>
  <c r="F10" i="2"/>
  <c r="BX8" i="2"/>
  <c r="BW8" i="2"/>
  <c r="BV8" i="2"/>
  <c r="BU8" i="2"/>
  <c r="BY8" i="2" s="1"/>
  <c r="F8" i="2"/>
  <c r="AM9" i="4"/>
  <c r="C13" i="15" s="1"/>
  <c r="AM8" i="4"/>
  <c r="C12" i="15" s="1"/>
  <c r="AM6" i="4"/>
  <c r="C10" i="15" s="1"/>
  <c r="AM5" i="4"/>
  <c r="C9" i="15" s="1"/>
  <c r="Y16" i="4"/>
  <c r="AF15" i="4"/>
  <c r="AA15" i="4"/>
  <c r="AF14" i="4"/>
  <c r="AA14" i="4"/>
  <c r="AF13" i="4"/>
  <c r="AA13" i="4"/>
  <c r="AF12" i="4"/>
  <c r="AA12" i="4"/>
  <c r="AF11" i="4"/>
  <c r="AA11" i="4"/>
  <c r="AH10" i="4"/>
  <c r="AH9" i="4"/>
  <c r="AA9" i="4"/>
  <c r="AH8" i="4"/>
  <c r="AH7" i="4"/>
  <c r="AH6" i="4"/>
  <c r="AA6" i="4"/>
  <c r="AH5" i="4"/>
  <c r="AH4" i="4"/>
  <c r="BZ11" i="2" l="1"/>
  <c r="BZ32" i="2"/>
  <c r="BZ24" i="2"/>
  <c r="BZ45" i="2"/>
  <c r="BZ10" i="2"/>
  <c r="BZ23" i="2"/>
  <c r="BZ18" i="2"/>
  <c r="BZ20" i="2"/>
  <c r="BZ35" i="2"/>
  <c r="BZ44" i="2"/>
  <c r="BZ17" i="2"/>
  <c r="BZ14" i="2"/>
  <c r="BZ29" i="2"/>
  <c r="BZ12" i="2"/>
  <c r="BZ28" i="2"/>
  <c r="BZ42" i="2"/>
  <c r="BZ15" i="2"/>
  <c r="BZ31" i="2"/>
  <c r="BZ36" i="2"/>
  <c r="BZ13" i="2"/>
  <c r="BZ30" i="2"/>
  <c r="BZ19" i="2"/>
  <c r="BZ34" i="2"/>
  <c r="BZ43" i="2"/>
  <c r="BZ16" i="2"/>
  <c r="BZ33" i="2"/>
  <c r="AR5" i="4"/>
  <c r="AR17" i="4"/>
  <c r="AR29" i="4"/>
  <c r="AR41" i="4"/>
  <c r="AR53" i="4"/>
  <c r="AR65" i="4"/>
  <c r="AR77" i="4"/>
  <c r="AR89" i="4"/>
  <c r="AR101" i="4"/>
  <c r="AR113" i="4"/>
  <c r="AR125" i="4"/>
  <c r="AR137" i="4"/>
  <c r="AR149" i="4"/>
  <c r="AR161" i="4"/>
  <c r="AR173" i="4"/>
  <c r="AR185" i="4"/>
  <c r="AR197" i="4"/>
  <c r="AR209" i="4"/>
  <c r="AR221" i="4"/>
  <c r="AR233" i="4"/>
  <c r="AR245" i="4"/>
  <c r="AR269" i="4"/>
  <c r="AR6" i="4"/>
  <c r="AR18" i="4"/>
  <c r="AR30" i="4"/>
  <c r="AR42" i="4"/>
  <c r="AR54" i="4"/>
  <c r="AR66" i="4"/>
  <c r="AR78" i="4"/>
  <c r="AR90" i="4"/>
  <c r="AR102" i="4"/>
  <c r="AR114" i="4"/>
  <c r="AR126" i="4"/>
  <c r="AR138" i="4"/>
  <c r="AR150" i="4"/>
  <c r="AR162" i="4"/>
  <c r="AR174" i="4"/>
  <c r="AR186" i="4"/>
  <c r="AR198" i="4"/>
  <c r="AR210" i="4"/>
  <c r="AR222" i="4"/>
  <c r="AR234" i="4"/>
  <c r="AR246" i="4"/>
  <c r="AR7" i="4"/>
  <c r="AR19" i="4"/>
  <c r="AR31" i="4"/>
  <c r="AR43" i="4"/>
  <c r="AR55" i="4"/>
  <c r="AR67" i="4"/>
  <c r="AR79" i="4"/>
  <c r="AR91" i="4"/>
  <c r="AR103" i="4"/>
  <c r="AR115" i="4"/>
  <c r="AR127" i="4"/>
  <c r="AR139" i="4"/>
  <c r="AR151" i="4"/>
  <c r="AR163" i="4"/>
  <c r="AR175" i="4"/>
  <c r="AR187" i="4"/>
  <c r="AR199" i="4"/>
  <c r="AR211" i="4"/>
  <c r="AR223" i="4"/>
  <c r="AR235" i="4"/>
  <c r="AR247" i="4"/>
  <c r="AR259" i="4"/>
  <c r="AR271" i="4"/>
  <c r="AR8" i="4"/>
  <c r="AR20" i="4"/>
  <c r="AR32" i="4"/>
  <c r="AR44" i="4"/>
  <c r="AR56" i="4"/>
  <c r="AR68" i="4"/>
  <c r="AR80" i="4"/>
  <c r="AR92" i="4"/>
  <c r="AR104" i="4"/>
  <c r="AR116" i="4"/>
  <c r="AR128" i="4"/>
  <c r="AR140" i="4"/>
  <c r="AR152" i="4"/>
  <c r="AR164" i="4"/>
  <c r="AR176" i="4"/>
  <c r="AR188" i="4"/>
  <c r="AR200" i="4"/>
  <c r="AR212" i="4"/>
  <c r="AR224" i="4"/>
  <c r="AR236" i="4"/>
  <c r="AR248" i="4"/>
  <c r="AR260" i="4"/>
  <c r="AR272" i="4"/>
  <c r="AR284" i="4"/>
  <c r="AR273" i="4"/>
  <c r="AR285" i="4"/>
  <c r="AR9" i="4"/>
  <c r="AR21" i="4"/>
  <c r="AR33" i="4"/>
  <c r="AR45" i="4"/>
  <c r="AR57" i="4"/>
  <c r="AR69" i="4"/>
  <c r="AR81" i="4"/>
  <c r="AR93" i="4"/>
  <c r="AR105" i="4"/>
  <c r="AR117" i="4"/>
  <c r="AR129" i="4"/>
  <c r="AR141" i="4"/>
  <c r="AR153" i="4"/>
  <c r="AR165" i="4"/>
  <c r="AR177" i="4"/>
  <c r="AR189" i="4"/>
  <c r="AR201" i="4"/>
  <c r="AR213" i="4"/>
  <c r="AR225" i="4"/>
  <c r="AR237" i="4"/>
  <c r="AR249" i="4"/>
  <c r="AR261" i="4"/>
  <c r="AR286" i="4"/>
  <c r="AR10" i="4"/>
  <c r="AR22" i="4"/>
  <c r="AR34" i="4"/>
  <c r="AR46" i="4"/>
  <c r="AR58" i="4"/>
  <c r="AR70" i="4"/>
  <c r="AR82" i="4"/>
  <c r="AR94" i="4"/>
  <c r="AR106" i="4"/>
  <c r="AR118" i="4"/>
  <c r="AR130" i="4"/>
  <c r="AR142" i="4"/>
  <c r="AR154" i="4"/>
  <c r="AR166" i="4"/>
  <c r="AR178" i="4"/>
  <c r="AR190" i="4"/>
  <c r="AR202" i="4"/>
  <c r="AR214" i="4"/>
  <c r="AR226" i="4"/>
  <c r="AR238" i="4"/>
  <c r="AR250" i="4"/>
  <c r="AR262" i="4"/>
  <c r="AR274" i="4"/>
  <c r="AR11" i="4"/>
  <c r="AR23" i="4"/>
  <c r="AR35" i="4"/>
  <c r="AR47" i="4"/>
  <c r="AR59" i="4"/>
  <c r="AR71" i="4"/>
  <c r="AR83" i="4"/>
  <c r="AR95" i="4"/>
  <c r="AR107" i="4"/>
  <c r="AR119" i="4"/>
  <c r="AR131" i="4"/>
  <c r="AR143" i="4"/>
  <c r="AR155" i="4"/>
  <c r="AR167" i="4"/>
  <c r="AR179" i="4"/>
  <c r="AR191" i="4"/>
  <c r="AR203" i="4"/>
  <c r="AR215" i="4"/>
  <c r="AR227" i="4"/>
  <c r="AR239" i="4"/>
  <c r="AR251" i="4"/>
  <c r="AR263" i="4"/>
  <c r="AR275" i="4"/>
  <c r="AR4" i="4"/>
  <c r="AR277" i="4"/>
  <c r="AR258" i="4"/>
  <c r="AR12" i="4"/>
  <c r="AR24" i="4"/>
  <c r="AR36" i="4"/>
  <c r="AR48" i="4"/>
  <c r="AR60" i="4"/>
  <c r="AR72" i="4"/>
  <c r="AR84" i="4"/>
  <c r="AR96" i="4"/>
  <c r="AR108" i="4"/>
  <c r="AR120" i="4"/>
  <c r="AR132" i="4"/>
  <c r="AR144" i="4"/>
  <c r="AR156" i="4"/>
  <c r="AR168" i="4"/>
  <c r="AR180" i="4"/>
  <c r="AR192" i="4"/>
  <c r="AR204" i="4"/>
  <c r="AR216" i="4"/>
  <c r="AR228" i="4"/>
  <c r="AR240" i="4"/>
  <c r="AR252" i="4"/>
  <c r="AR264" i="4"/>
  <c r="AR276" i="4"/>
  <c r="AR241" i="4"/>
  <c r="AR265" i="4"/>
  <c r="AR279" i="4"/>
  <c r="AR13" i="4"/>
  <c r="AR25" i="4"/>
  <c r="AR37" i="4"/>
  <c r="AR49" i="4"/>
  <c r="AR61" i="4"/>
  <c r="AR73" i="4"/>
  <c r="AR85" i="4"/>
  <c r="AR97" i="4"/>
  <c r="AR109" i="4"/>
  <c r="AR121" i="4"/>
  <c r="AR133" i="4"/>
  <c r="AR145" i="4"/>
  <c r="AR157" i="4"/>
  <c r="AR169" i="4"/>
  <c r="AR181" i="4"/>
  <c r="AR193" i="4"/>
  <c r="AR205" i="4"/>
  <c r="AR217" i="4"/>
  <c r="AR229" i="4"/>
  <c r="AR253" i="4"/>
  <c r="AR278" i="4"/>
  <c r="AR14" i="4"/>
  <c r="AR26" i="4"/>
  <c r="AR38" i="4"/>
  <c r="AR50" i="4"/>
  <c r="AR62" i="4"/>
  <c r="AR74" i="4"/>
  <c r="AR86" i="4"/>
  <c r="AR98" i="4"/>
  <c r="AR110" i="4"/>
  <c r="AR122" i="4"/>
  <c r="AR134" i="4"/>
  <c r="AR146" i="4"/>
  <c r="AR158" i="4"/>
  <c r="AR170" i="4"/>
  <c r="AR182" i="4"/>
  <c r="AR194" i="4"/>
  <c r="AR206" i="4"/>
  <c r="AR218" i="4"/>
  <c r="AR230" i="4"/>
  <c r="AR242" i="4"/>
  <c r="AR254" i="4"/>
  <c r="AR266" i="4"/>
  <c r="AR282" i="4"/>
  <c r="AR15" i="4"/>
  <c r="AR27" i="4"/>
  <c r="AR39" i="4"/>
  <c r="AR51" i="4"/>
  <c r="AR63" i="4"/>
  <c r="AR75" i="4"/>
  <c r="AR87" i="4"/>
  <c r="AR99" i="4"/>
  <c r="AR111" i="4"/>
  <c r="AR123" i="4"/>
  <c r="AR135" i="4"/>
  <c r="AR147" i="4"/>
  <c r="AR159" i="4"/>
  <c r="AR171" i="4"/>
  <c r="AR183" i="4"/>
  <c r="AR195" i="4"/>
  <c r="AR207" i="4"/>
  <c r="AR219" i="4"/>
  <c r="AR231" i="4"/>
  <c r="AR243" i="4"/>
  <c r="AR255" i="4"/>
  <c r="AR267" i="4"/>
  <c r="AR283" i="4"/>
  <c r="AR16" i="4"/>
  <c r="AR28" i="4"/>
  <c r="AR40" i="4"/>
  <c r="AR52" i="4"/>
  <c r="AR64" i="4"/>
  <c r="AR76" i="4"/>
  <c r="AR88" i="4"/>
  <c r="AR100" i="4"/>
  <c r="AR112" i="4"/>
  <c r="AR124" i="4"/>
  <c r="AR136" i="4"/>
  <c r="AR148" i="4"/>
  <c r="AR160" i="4"/>
  <c r="AR172" i="4"/>
  <c r="AR184" i="4"/>
  <c r="AR196" i="4"/>
  <c r="AR208" i="4"/>
  <c r="AR220" i="4"/>
  <c r="AR232" i="4"/>
  <c r="AR244" i="4"/>
  <c r="AR256" i="4"/>
  <c r="AR268" i="4"/>
  <c r="AR280" i="4"/>
  <c r="AR257" i="4"/>
  <c r="AR281" i="4"/>
  <c r="AR270" i="4"/>
  <c r="BZ49" i="2"/>
  <c r="BZ8" i="2"/>
  <c r="BZ22" i="2"/>
  <c r="BZ46" i="2"/>
  <c r="Y13" i="4"/>
  <c r="Y11" i="4"/>
  <c r="AH12" i="4"/>
  <c r="AH14" i="4"/>
  <c r="Y15" i="4"/>
  <c r="AA16" i="4"/>
  <c r="Y9" i="4"/>
  <c r="AF9" i="4"/>
  <c r="AF4" i="4"/>
  <c r="Y6" i="4"/>
  <c r="AF6" i="4"/>
  <c r="AF10" i="4"/>
  <c r="AF5" i="4"/>
  <c r="AF7" i="4"/>
  <c r="AF8" i="4"/>
  <c r="AH11" i="4"/>
  <c r="Y12" i="4"/>
  <c r="AH13" i="4"/>
  <c r="Y14" i="4"/>
  <c r="AH15" i="4"/>
  <c r="AF16" i="4"/>
  <c r="AH16" i="4"/>
  <c r="AA8" i="4"/>
  <c r="Y8" i="4"/>
  <c r="AA4" i="4"/>
  <c r="Y4" i="4"/>
  <c r="AA5" i="4"/>
  <c r="Y5" i="4"/>
  <c r="AA7" i="4"/>
  <c r="Y7" i="4"/>
  <c r="AA10" i="4"/>
  <c r="Y10" i="4"/>
  <c r="C66" i="1" l="1"/>
  <c r="C67" i="1"/>
  <c r="C15" i="1"/>
  <c r="U15" i="1" s="1"/>
  <c r="C11" i="1"/>
  <c r="G11" i="1" s="1"/>
  <c r="C12" i="1"/>
  <c r="S12" i="1" s="1"/>
  <c r="C14" i="1"/>
  <c r="U14" i="1" s="1"/>
  <c r="C13" i="1"/>
  <c r="U13" i="1" s="1"/>
  <c r="C33" i="1"/>
  <c r="C47" i="1"/>
  <c r="C44" i="1"/>
  <c r="C49" i="1"/>
  <c r="C23" i="1"/>
  <c r="U23" i="1" s="1"/>
  <c r="C65" i="1"/>
  <c r="C32" i="1"/>
  <c r="C46" i="1"/>
  <c r="C17" i="1"/>
  <c r="S17" i="1" s="1"/>
  <c r="C39" i="1"/>
  <c r="C38" i="1"/>
  <c r="C37" i="1"/>
  <c r="C22" i="1"/>
  <c r="S22" i="1" s="1"/>
  <c r="C19" i="1"/>
  <c r="S19" i="1" s="1"/>
  <c r="C54" i="1"/>
  <c r="C28" i="1"/>
  <c r="C21" i="1"/>
  <c r="S21" i="1" s="1"/>
  <c r="C25" i="1"/>
  <c r="C30" i="1"/>
  <c r="C51" i="1"/>
  <c r="C53" i="1"/>
  <c r="C55" i="1"/>
  <c r="C50" i="1"/>
  <c r="C34" i="1"/>
  <c r="C63" i="1"/>
  <c r="C43" i="1"/>
  <c r="C31" i="1"/>
  <c r="C64" i="1"/>
  <c r="C35" i="1"/>
  <c r="C56" i="1"/>
  <c r="C41" i="1"/>
  <c r="C57" i="1"/>
  <c r="C20" i="1"/>
  <c r="U20" i="1" s="1"/>
  <c r="C42" i="1"/>
  <c r="C52" i="1"/>
  <c r="C27" i="1"/>
  <c r="C59" i="1"/>
  <c r="C26" i="1"/>
  <c r="C58" i="1"/>
  <c r="C48" i="1"/>
  <c r="C36" i="1"/>
  <c r="C24" i="1"/>
  <c r="C40" i="1"/>
  <c r="C62" i="1"/>
  <c r="C45" i="1"/>
  <c r="C61" i="1"/>
  <c r="C60" i="1"/>
  <c r="C16" i="1"/>
  <c r="U16" i="1" s="1"/>
  <c r="C18" i="1"/>
  <c r="S18" i="1" s="1"/>
  <c r="C29" i="1"/>
  <c r="O67" i="1" l="1"/>
  <c r="P67" i="1"/>
  <c r="M67" i="1"/>
  <c r="D67" i="1"/>
  <c r="Q67" i="1"/>
  <c r="G67" i="1"/>
  <c r="J67" i="1"/>
  <c r="F67" i="1"/>
  <c r="I67" i="1"/>
  <c r="K67" i="1"/>
  <c r="N67" i="1"/>
  <c r="H67" i="1"/>
  <c r="D66" i="1"/>
  <c r="Q66" i="1"/>
  <c r="F66" i="1"/>
  <c r="G66" i="1"/>
  <c r="N66" i="1"/>
  <c r="H66" i="1"/>
  <c r="I66" i="1"/>
  <c r="P66" i="1"/>
  <c r="J66" i="1"/>
  <c r="K66" i="1"/>
  <c r="O66" i="1"/>
  <c r="M66" i="1"/>
  <c r="V55" i="1"/>
  <c r="T55" i="1"/>
  <c r="V58" i="1"/>
  <c r="T58" i="1"/>
  <c r="V27" i="1"/>
  <c r="T27" i="1"/>
  <c r="V34" i="1"/>
  <c r="T34" i="1"/>
  <c r="V37" i="1"/>
  <c r="T37" i="1"/>
  <c r="V66" i="1"/>
  <c r="T66" i="1"/>
  <c r="V42" i="1"/>
  <c r="T42" i="1"/>
  <c r="V50" i="1"/>
  <c r="T50" i="1"/>
  <c r="V61" i="1"/>
  <c r="T61" i="1"/>
  <c r="V45" i="1"/>
  <c r="T45" i="1"/>
  <c r="V53" i="1"/>
  <c r="T53" i="1"/>
  <c r="V62" i="1"/>
  <c r="T62" i="1"/>
  <c r="V57" i="1"/>
  <c r="T57" i="1"/>
  <c r="V51" i="1"/>
  <c r="T51" i="1"/>
  <c r="V46" i="1"/>
  <c r="T46" i="1"/>
  <c r="V52" i="1"/>
  <c r="T52" i="1"/>
  <c r="V40" i="1"/>
  <c r="T40" i="1"/>
  <c r="V24" i="1"/>
  <c r="T24" i="1"/>
  <c r="V56" i="1"/>
  <c r="T56" i="1"/>
  <c r="V25" i="1"/>
  <c r="T25" i="1"/>
  <c r="V65" i="1"/>
  <c r="T65" i="1"/>
  <c r="V38" i="1"/>
  <c r="T38" i="1"/>
  <c r="V36" i="1"/>
  <c r="T36" i="1"/>
  <c r="V35" i="1"/>
  <c r="T35" i="1"/>
  <c r="V39" i="1"/>
  <c r="T39" i="1"/>
  <c r="V41" i="1"/>
  <c r="T41" i="1"/>
  <c r="V67" i="1"/>
  <c r="T67" i="1"/>
  <c r="V48" i="1"/>
  <c r="T48" i="1"/>
  <c r="V64" i="1"/>
  <c r="T64" i="1"/>
  <c r="V28" i="1"/>
  <c r="T28" i="1"/>
  <c r="V49" i="1"/>
  <c r="T49" i="1"/>
  <c r="V31" i="1"/>
  <c r="T31" i="1"/>
  <c r="V30" i="1"/>
  <c r="T30" i="1"/>
  <c r="V54" i="1"/>
  <c r="T54" i="1"/>
  <c r="V29" i="1"/>
  <c r="T29" i="1"/>
  <c r="V26" i="1"/>
  <c r="T26" i="1"/>
  <c r="V43" i="1"/>
  <c r="T43" i="1"/>
  <c r="V47" i="1"/>
  <c r="T47" i="1"/>
  <c r="V60" i="1"/>
  <c r="T60" i="1"/>
  <c r="V32" i="1"/>
  <c r="T32" i="1"/>
  <c r="V44" i="1"/>
  <c r="T44" i="1"/>
  <c r="V59" i="1"/>
  <c r="T59" i="1"/>
  <c r="V63" i="1"/>
  <c r="T63" i="1"/>
  <c r="V33" i="1"/>
  <c r="T33" i="1"/>
  <c r="U53" i="1"/>
  <c r="U62" i="1"/>
  <c r="U48" i="1"/>
  <c r="U49" i="1"/>
  <c r="U29" i="1"/>
  <c r="U43" i="1"/>
  <c r="U47" i="1"/>
  <c r="U59" i="1"/>
  <c r="U27" i="1"/>
  <c r="U34" i="1"/>
  <c r="U37" i="1"/>
  <c r="U66" i="1"/>
  <c r="U60" i="1"/>
  <c r="U52" i="1"/>
  <c r="U50" i="1"/>
  <c r="U38" i="1"/>
  <c r="U61" i="1"/>
  <c r="U42" i="1"/>
  <c r="U55" i="1"/>
  <c r="U39" i="1"/>
  <c r="U51" i="1"/>
  <c r="U40" i="1"/>
  <c r="U41" i="1"/>
  <c r="U30" i="1"/>
  <c r="U32" i="1"/>
  <c r="U67" i="1"/>
  <c r="U24" i="1"/>
  <c r="U56" i="1"/>
  <c r="U25" i="1"/>
  <c r="U65" i="1"/>
  <c r="U36" i="1"/>
  <c r="U35" i="1"/>
  <c r="U46" i="1"/>
  <c r="U64" i="1"/>
  <c r="U58" i="1"/>
  <c r="U31" i="1"/>
  <c r="U54" i="1"/>
  <c r="U44" i="1"/>
  <c r="U45" i="1"/>
  <c r="U57" i="1"/>
  <c r="U28" i="1"/>
  <c r="U26" i="1"/>
  <c r="U63" i="1"/>
  <c r="U33" i="1"/>
  <c r="S31" i="1"/>
  <c r="S47" i="1"/>
  <c r="S59" i="1"/>
  <c r="S33" i="1"/>
  <c r="S27" i="1"/>
  <c r="S66" i="1"/>
  <c r="S60" i="1"/>
  <c r="S52" i="1"/>
  <c r="S50" i="1"/>
  <c r="S38" i="1"/>
  <c r="S58" i="1"/>
  <c r="S63" i="1"/>
  <c r="S34" i="1"/>
  <c r="S37" i="1"/>
  <c r="S61" i="1"/>
  <c r="S42" i="1"/>
  <c r="S55" i="1"/>
  <c r="S39" i="1"/>
  <c r="S29" i="1"/>
  <c r="S45" i="1"/>
  <c r="S62" i="1"/>
  <c r="S46" i="1"/>
  <c r="S40" i="1"/>
  <c r="S41" i="1"/>
  <c r="S30" i="1"/>
  <c r="S32" i="1"/>
  <c r="S54" i="1"/>
  <c r="S26" i="1"/>
  <c r="S57" i="1"/>
  <c r="S67" i="1"/>
  <c r="S56" i="1"/>
  <c r="S65" i="1"/>
  <c r="S36" i="1"/>
  <c r="S35" i="1"/>
  <c r="S44" i="1"/>
  <c r="S43" i="1"/>
  <c r="S53" i="1"/>
  <c r="S51" i="1"/>
  <c r="S24" i="1"/>
  <c r="S25" i="1"/>
  <c r="S48" i="1"/>
  <c r="S64" i="1"/>
  <c r="S28" i="1"/>
  <c r="S49" i="1"/>
  <c r="K43" i="1"/>
  <c r="K60" i="1"/>
  <c r="K61" i="1"/>
  <c r="K42" i="1"/>
  <c r="K55" i="1"/>
  <c r="K39" i="1"/>
  <c r="K47" i="1"/>
  <c r="K50" i="1"/>
  <c r="K53" i="1"/>
  <c r="K45" i="1"/>
  <c r="K62" i="1"/>
  <c r="K40" i="1"/>
  <c r="K41" i="1"/>
  <c r="K52" i="1"/>
  <c r="K57" i="1"/>
  <c r="K51" i="1"/>
  <c r="K46" i="1"/>
  <c r="K56" i="1"/>
  <c r="K65" i="1"/>
  <c r="K48" i="1"/>
  <c r="K64" i="1"/>
  <c r="K49" i="1"/>
  <c r="K58" i="1"/>
  <c r="K54" i="1"/>
  <c r="K44" i="1"/>
  <c r="K59" i="1"/>
  <c r="K63" i="1"/>
  <c r="H60" i="1"/>
  <c r="H50" i="1"/>
  <c r="H61" i="1"/>
  <c r="H42" i="1"/>
  <c r="H55" i="1"/>
  <c r="H39" i="1"/>
  <c r="H52" i="1"/>
  <c r="H45" i="1"/>
  <c r="H53" i="1"/>
  <c r="H51" i="1"/>
  <c r="H57" i="1"/>
  <c r="H40" i="1"/>
  <c r="H41" i="1"/>
  <c r="H62" i="1"/>
  <c r="H56" i="1"/>
  <c r="H65" i="1"/>
  <c r="H48" i="1"/>
  <c r="H64" i="1"/>
  <c r="H49" i="1"/>
  <c r="H46" i="1"/>
  <c r="H58" i="1"/>
  <c r="H54" i="1"/>
  <c r="H44" i="1"/>
  <c r="H43" i="1"/>
  <c r="H47" i="1"/>
  <c r="H59" i="1"/>
  <c r="H63" i="1"/>
  <c r="G24" i="1"/>
  <c r="G56" i="1"/>
  <c r="G43" i="1"/>
  <c r="G25" i="1"/>
  <c r="G39" i="1"/>
  <c r="G47" i="1"/>
  <c r="G62" i="1"/>
  <c r="G48" i="1"/>
  <c r="G27" i="1"/>
  <c r="G57" i="1"/>
  <c r="G64" i="1"/>
  <c r="G34" i="1"/>
  <c r="G51" i="1"/>
  <c r="G28" i="1"/>
  <c r="G37" i="1"/>
  <c r="G46" i="1"/>
  <c r="G49" i="1"/>
  <c r="G29" i="1"/>
  <c r="G26" i="1"/>
  <c r="G65" i="1"/>
  <c r="G60" i="1"/>
  <c r="G40" i="1"/>
  <c r="G58" i="1"/>
  <c r="G52" i="1"/>
  <c r="G41" i="1"/>
  <c r="G31" i="1"/>
  <c r="G50" i="1"/>
  <c r="G30" i="1"/>
  <c r="G54" i="1"/>
  <c r="G38" i="1"/>
  <c r="G32" i="1"/>
  <c r="G44" i="1"/>
  <c r="G61" i="1"/>
  <c r="G42" i="1"/>
  <c r="G55" i="1"/>
  <c r="G45" i="1"/>
  <c r="G36" i="1"/>
  <c r="G59" i="1"/>
  <c r="G35" i="1"/>
  <c r="G63" i="1"/>
  <c r="G53" i="1"/>
  <c r="G22" i="1"/>
  <c r="G23" i="1"/>
  <c r="G33" i="1"/>
  <c r="D61" i="1"/>
  <c r="D64" i="1"/>
  <c r="D65" i="1"/>
  <c r="D62" i="1"/>
  <c r="D63" i="1"/>
  <c r="D60" i="1"/>
  <c r="D59" i="1"/>
  <c r="U18" i="1"/>
  <c r="U21" i="1"/>
  <c r="S11" i="1"/>
  <c r="S15" i="1"/>
  <c r="S23" i="1"/>
  <c r="U19" i="1"/>
  <c r="U17" i="1"/>
  <c r="U22" i="1"/>
  <c r="U11" i="1"/>
  <c r="S16" i="1"/>
  <c r="U12" i="1"/>
  <c r="S20" i="1"/>
  <c r="S13" i="1"/>
  <c r="S14" i="1"/>
  <c r="D30" i="1"/>
  <c r="D34" i="1"/>
  <c r="D42" i="1"/>
  <c r="D23" i="1"/>
  <c r="D22" i="1"/>
  <c r="D40" i="1"/>
  <c r="D25" i="1"/>
  <c r="D27" i="1"/>
  <c r="D38" i="1"/>
  <c r="D29" i="1"/>
  <c r="D56" i="1"/>
  <c r="D49" i="1"/>
  <c r="D15" i="1"/>
  <c r="D53" i="1"/>
  <c r="D48" i="1"/>
  <c r="D55" i="1"/>
  <c r="D18" i="1"/>
  <c r="D13" i="1"/>
  <c r="D32" i="1"/>
  <c r="D12" i="1"/>
  <c r="D19" i="1"/>
  <c r="D35" i="1"/>
  <c r="D50" i="1"/>
  <c r="D46" i="1"/>
  <c r="D20" i="1"/>
  <c r="D17" i="1"/>
  <c r="D37" i="1"/>
  <c r="D31" i="1"/>
  <c r="D54" i="1"/>
  <c r="D14" i="1"/>
  <c r="D58" i="1"/>
  <c r="D33" i="1"/>
  <c r="D45" i="1"/>
  <c r="D43" i="1"/>
  <c r="D44" i="1"/>
  <c r="D28" i="1"/>
  <c r="D39" i="1"/>
  <c r="D16" i="1"/>
  <c r="D57" i="1"/>
  <c r="D52" i="1"/>
  <c r="D51" i="1"/>
  <c r="D11" i="1"/>
  <c r="D24" i="1"/>
  <c r="D21" i="1"/>
  <c r="D26" i="1"/>
  <c r="D41" i="1"/>
  <c r="D47" i="1"/>
  <c r="D36" i="1"/>
  <c r="U9" i="1" l="1"/>
  <c r="F44" i="1"/>
  <c r="F62" i="1"/>
  <c r="H31" i="1"/>
  <c r="K31" i="1"/>
  <c r="F65" i="1"/>
  <c r="F42" i="1"/>
  <c r="F56" i="1"/>
  <c r="F53" i="1"/>
  <c r="H36" i="1"/>
  <c r="K36" i="1"/>
  <c r="F63" i="1"/>
  <c r="F55" i="1"/>
  <c r="F45" i="1"/>
  <c r="K34" i="1"/>
  <c r="H34" i="1"/>
  <c r="F59" i="1"/>
  <c r="F38" i="1"/>
  <c r="H38" i="1"/>
  <c r="K38" i="1"/>
  <c r="F61" i="1"/>
  <c r="H35" i="1"/>
  <c r="K35" i="1"/>
  <c r="K25" i="1"/>
  <c r="H25" i="1"/>
  <c r="F47" i="1"/>
  <c r="F41" i="1"/>
  <c r="F50" i="1"/>
  <c r="F43" i="1"/>
  <c r="F40" i="1"/>
  <c r="K37" i="1"/>
  <c r="F37" i="1"/>
  <c r="H37" i="1"/>
  <c r="K27" i="1"/>
  <c r="H27" i="1"/>
  <c r="H26" i="1"/>
  <c r="K26" i="1"/>
  <c r="F54" i="1"/>
  <c r="F39" i="1"/>
  <c r="F58" i="1"/>
  <c r="K30" i="1"/>
  <c r="H30" i="1"/>
  <c r="F49" i="1"/>
  <c r="F60" i="1"/>
  <c r="H29" i="1"/>
  <c r="K29" i="1"/>
  <c r="F64" i="1"/>
  <c r="F46" i="1"/>
  <c r="H32" i="1"/>
  <c r="K32" i="1"/>
  <c r="F48" i="1"/>
  <c r="F51" i="1"/>
  <c r="H24" i="1"/>
  <c r="K24" i="1"/>
  <c r="H28" i="1"/>
  <c r="K28" i="1"/>
  <c r="H33" i="1"/>
  <c r="K33" i="1"/>
  <c r="F52" i="1"/>
  <c r="F57" i="1"/>
  <c r="V17" i="1"/>
  <c r="V18" i="1"/>
  <c r="V20" i="1"/>
  <c r="V14" i="1"/>
  <c r="V13" i="1"/>
  <c r="V15" i="1"/>
  <c r="V19" i="1"/>
  <c r="V16" i="1"/>
  <c r="V12" i="1"/>
  <c r="V22" i="1"/>
  <c r="V23" i="1"/>
  <c r="V21" i="1"/>
  <c r="V11" i="1"/>
  <c r="F32" i="1"/>
  <c r="F33" i="1"/>
  <c r="F30" i="1"/>
  <c r="F31" i="1"/>
  <c r="F35" i="1"/>
  <c r="F36" i="1"/>
  <c r="F34" i="1"/>
  <c r="F25" i="1"/>
  <c r="F27" i="1"/>
  <c r="F26" i="1"/>
  <c r="F24" i="1"/>
  <c r="F29" i="1"/>
  <c r="F28" i="1"/>
  <c r="F17" i="1"/>
  <c r="F18" i="1"/>
  <c r="F20" i="1"/>
  <c r="F14" i="1"/>
  <c r="F15" i="1"/>
  <c r="F19" i="1"/>
  <c r="F16" i="1"/>
  <c r="F22" i="1"/>
  <c r="F23" i="1"/>
  <c r="F21" i="1"/>
  <c r="F11" i="1"/>
  <c r="F13" i="1"/>
  <c r="F12" i="1"/>
  <c r="K22" i="1"/>
  <c r="H22" i="1"/>
  <c r="K23" i="1"/>
  <c r="H23" i="1"/>
  <c r="H21" i="1"/>
  <c r="K21" i="1"/>
  <c r="K17" i="1"/>
  <c r="K18" i="1"/>
  <c r="K20" i="1"/>
  <c r="K14" i="1"/>
  <c r="K13" i="1"/>
  <c r="K15" i="1"/>
  <c r="K19" i="1"/>
  <c r="K16" i="1"/>
  <c r="K12" i="1"/>
  <c r="K11" i="1"/>
  <c r="H17" i="1"/>
  <c r="H18" i="1"/>
  <c r="H20" i="1"/>
  <c r="H14" i="1"/>
  <c r="H13" i="1"/>
  <c r="H15" i="1"/>
  <c r="H19" i="1"/>
  <c r="H16" i="1"/>
  <c r="H12" i="1"/>
  <c r="H11" i="1"/>
  <c r="J11" i="1"/>
  <c r="I11" i="1"/>
  <c r="G17" i="1"/>
  <c r="G16" i="1"/>
  <c r="G21" i="1"/>
  <c r="G19" i="1"/>
  <c r="G20" i="1"/>
  <c r="G18" i="1"/>
  <c r="G14" i="1"/>
  <c r="G15" i="1"/>
  <c r="G13" i="1"/>
  <c r="G12" i="1"/>
  <c r="J17" i="1"/>
  <c r="I17" i="1"/>
  <c r="I16" i="1"/>
  <c r="J16" i="1"/>
  <c r="I21" i="1"/>
  <c r="J21" i="1"/>
  <c r="I19" i="1"/>
  <c r="J19" i="1"/>
  <c r="I14" i="1"/>
  <c r="J14" i="1"/>
  <c r="I15" i="1"/>
  <c r="J15" i="1"/>
  <c r="I13" i="1"/>
  <c r="J13" i="1"/>
  <c r="I12" i="1"/>
  <c r="J12" i="1"/>
  <c r="I20" i="1"/>
  <c r="J20" i="1"/>
  <c r="I18" i="1"/>
  <c r="J18" i="1"/>
  <c r="J63" i="1"/>
  <c r="I63" i="1"/>
  <c r="J59" i="1"/>
  <c r="I59" i="1"/>
  <c r="I45" i="1"/>
  <c r="J45" i="1"/>
  <c r="J65" i="1"/>
  <c r="I65" i="1"/>
  <c r="J25" i="1"/>
  <c r="I25" i="1"/>
  <c r="J43" i="1"/>
  <c r="I43" i="1"/>
  <c r="J42" i="1"/>
  <c r="I42" i="1"/>
  <c r="J24" i="1"/>
  <c r="I24" i="1"/>
  <c r="J29" i="1"/>
  <c r="I29" i="1"/>
  <c r="I32" i="1"/>
  <c r="J32" i="1"/>
  <c r="J54" i="1"/>
  <c r="I54" i="1"/>
  <c r="I50" i="1"/>
  <c r="J50" i="1"/>
  <c r="I41" i="1"/>
  <c r="J41" i="1"/>
  <c r="J58" i="1"/>
  <c r="I58" i="1"/>
  <c r="I60" i="1"/>
  <c r="J60" i="1"/>
  <c r="I46" i="1"/>
  <c r="J46" i="1"/>
  <c r="J28" i="1"/>
  <c r="I28" i="1"/>
  <c r="N28" i="1" s="1"/>
  <c r="J34" i="1"/>
  <c r="I34" i="1"/>
  <c r="J57" i="1"/>
  <c r="I57" i="1"/>
  <c r="I48" i="1"/>
  <c r="J48" i="1"/>
  <c r="J33" i="1"/>
  <c r="I33" i="1"/>
  <c r="J53" i="1"/>
  <c r="I53" i="1"/>
  <c r="J35" i="1"/>
  <c r="I35" i="1"/>
  <c r="J36" i="1"/>
  <c r="I36" i="1"/>
  <c r="J47" i="1"/>
  <c r="I47" i="1"/>
  <c r="J39" i="1"/>
  <c r="I39" i="1"/>
  <c r="J55" i="1"/>
  <c r="I55" i="1"/>
  <c r="J56" i="1"/>
  <c r="I56" i="1"/>
  <c r="J26" i="1"/>
  <c r="I26" i="1"/>
  <c r="J61" i="1"/>
  <c r="I61" i="1"/>
  <c r="J44" i="1"/>
  <c r="I44" i="1"/>
  <c r="J38" i="1"/>
  <c r="I38" i="1"/>
  <c r="J30" i="1"/>
  <c r="I30" i="1"/>
  <c r="J31" i="1"/>
  <c r="I31" i="1"/>
  <c r="J52" i="1"/>
  <c r="I52" i="1"/>
  <c r="J40" i="1"/>
  <c r="I40" i="1"/>
  <c r="J49" i="1"/>
  <c r="I49" i="1"/>
  <c r="J37" i="1"/>
  <c r="I37" i="1"/>
  <c r="J51" i="1"/>
  <c r="I51" i="1"/>
  <c r="J64" i="1"/>
  <c r="I64" i="1"/>
  <c r="J27" i="1"/>
  <c r="I27" i="1"/>
  <c r="J62" i="1"/>
  <c r="I62" i="1"/>
  <c r="J22" i="1"/>
  <c r="I22" i="1"/>
  <c r="J23" i="1"/>
  <c r="I23" i="1"/>
  <c r="N29" i="1"/>
  <c r="P44" i="1"/>
  <c r="T21" i="1"/>
  <c r="T17" i="1"/>
  <c r="T18" i="1"/>
  <c r="T20" i="1"/>
  <c r="T23" i="1"/>
  <c r="T15" i="1"/>
  <c r="T16" i="1"/>
  <c r="T19" i="1"/>
  <c r="T11" i="1"/>
  <c r="T14" i="1"/>
  <c r="T22" i="1"/>
  <c r="T12" i="1"/>
  <c r="T13" i="1"/>
  <c r="M11" i="1" l="1"/>
  <c r="N13" i="1"/>
  <c r="Q11" i="1"/>
  <c r="P11" i="1"/>
  <c r="M21" i="1"/>
  <c r="Q16" i="1"/>
  <c r="M13" i="1"/>
  <c r="M19" i="1"/>
  <c r="M16" i="1"/>
  <c r="M14" i="1"/>
  <c r="M17" i="1"/>
  <c r="M20" i="1"/>
  <c r="M12" i="1"/>
  <c r="Q17" i="1"/>
  <c r="M18" i="1"/>
  <c r="M15" i="1"/>
  <c r="Q15" i="1"/>
  <c r="Q18" i="1"/>
  <c r="Q13" i="1"/>
  <c r="Q12" i="1"/>
  <c r="Q14" i="1"/>
  <c r="P12" i="1"/>
  <c r="Q19" i="1"/>
  <c r="Q20" i="1"/>
  <c r="Q21" i="1"/>
  <c r="Q64" i="1"/>
  <c r="O28" i="1"/>
  <c r="P24" i="1"/>
  <c r="M40" i="1"/>
  <c r="Q52" i="1"/>
  <c r="M38" i="1"/>
  <c r="M56" i="1"/>
  <c r="Q55" i="1"/>
  <c r="M46" i="1"/>
  <c r="Q60" i="1"/>
  <c r="Q42" i="1"/>
  <c r="O29" i="1"/>
  <c r="P30" i="1"/>
  <c r="Q47" i="1"/>
  <c r="Q58" i="1"/>
  <c r="Q41" i="1"/>
  <c r="Q59" i="1"/>
  <c r="Q49" i="1"/>
  <c r="Q63" i="1"/>
  <c r="Q65" i="1"/>
  <c r="M62" i="1"/>
  <c r="Q40" i="1"/>
  <c r="Q46" i="1"/>
  <c r="M41" i="1"/>
  <c r="M59" i="1"/>
  <c r="M63" i="1"/>
  <c r="Q36" i="1"/>
  <c r="M30" i="1"/>
  <c r="M26" i="1"/>
  <c r="M33" i="1"/>
  <c r="Q28" i="1"/>
  <c r="Q30" i="1"/>
  <c r="Q26" i="1"/>
  <c r="Q33" i="1"/>
  <c r="Q34" i="1"/>
  <c r="Q29" i="1"/>
  <c r="Q25" i="1"/>
  <c r="Q27" i="1"/>
  <c r="Q35" i="1"/>
  <c r="Q62" i="1"/>
  <c r="Q38" i="1"/>
  <c r="Q56" i="1"/>
  <c r="Q48" i="1"/>
  <c r="Q50" i="1"/>
  <c r="Q24" i="1"/>
  <c r="M65" i="1"/>
  <c r="Q45" i="1"/>
  <c r="M37" i="1"/>
  <c r="Q31" i="1"/>
  <c r="M61" i="1"/>
  <c r="Q39" i="1"/>
  <c r="M53" i="1"/>
  <c r="M64" i="1"/>
  <c r="Q51" i="1"/>
  <c r="Q37" i="1"/>
  <c r="M52" i="1"/>
  <c r="Q44" i="1"/>
  <c r="Q61" i="1"/>
  <c r="M55" i="1"/>
  <c r="M35" i="1"/>
  <c r="Q53" i="1"/>
  <c r="Q57" i="1"/>
  <c r="M60" i="1"/>
  <c r="Q54" i="1"/>
  <c r="Q32" i="1"/>
  <c r="Q43" i="1"/>
  <c r="O37" i="1"/>
  <c r="N37" i="1"/>
  <c r="O32" i="1"/>
  <c r="N32" i="1"/>
  <c r="O49" i="1"/>
  <c r="N49" i="1"/>
  <c r="O65" i="1"/>
  <c r="N65" i="1"/>
  <c r="O64" i="1"/>
  <c r="N64" i="1"/>
  <c r="O27" i="1"/>
  <c r="N27" i="1"/>
  <c r="O30" i="1"/>
  <c r="N30" i="1"/>
  <c r="M50" i="1"/>
  <c r="M32" i="1"/>
  <c r="M29" i="1"/>
  <c r="M24" i="1"/>
  <c r="M42" i="1"/>
  <c r="M43" i="1"/>
  <c r="M25" i="1"/>
  <c r="M45" i="1"/>
  <c r="O36" i="1"/>
  <c r="N36" i="1"/>
  <c r="O63" i="1"/>
  <c r="N63" i="1"/>
  <c r="O53" i="1"/>
  <c r="N53" i="1"/>
  <c r="O44" i="1"/>
  <c r="N44" i="1"/>
  <c r="O34" i="1"/>
  <c r="N34" i="1"/>
  <c r="M23" i="1"/>
  <c r="M22" i="1"/>
  <c r="M51" i="1"/>
  <c r="M49" i="1"/>
  <c r="M31" i="1"/>
  <c r="M44" i="1"/>
  <c r="M39" i="1"/>
  <c r="M47" i="1"/>
  <c r="M36" i="1"/>
  <c r="M57" i="1"/>
  <c r="O62" i="1"/>
  <c r="N62" i="1"/>
  <c r="O61" i="1"/>
  <c r="N61" i="1"/>
  <c r="O40" i="1"/>
  <c r="N40" i="1"/>
  <c r="O43" i="1"/>
  <c r="N43" i="1"/>
  <c r="O58" i="1"/>
  <c r="N58" i="1"/>
  <c r="O42" i="1"/>
  <c r="N42" i="1"/>
  <c r="O46" i="1"/>
  <c r="N46" i="1"/>
  <c r="O39" i="1"/>
  <c r="N39" i="1"/>
  <c r="O47" i="1"/>
  <c r="N47" i="1"/>
  <c r="O45" i="1"/>
  <c r="N45" i="1"/>
  <c r="O52" i="1"/>
  <c r="N52" i="1"/>
  <c r="O48" i="1"/>
  <c r="N48" i="1"/>
  <c r="O54" i="1"/>
  <c r="N54" i="1"/>
  <c r="O24" i="1"/>
  <c r="N24" i="1"/>
  <c r="Q23" i="1"/>
  <c r="M48" i="1"/>
  <c r="M34" i="1"/>
  <c r="M28" i="1"/>
  <c r="M58" i="1"/>
  <c r="M54" i="1"/>
  <c r="O50" i="1"/>
  <c r="N50" i="1"/>
  <c r="O35" i="1"/>
  <c r="N35" i="1"/>
  <c r="O60" i="1"/>
  <c r="N60" i="1"/>
  <c r="O26" i="1"/>
  <c r="N26" i="1"/>
  <c r="O55" i="1"/>
  <c r="N55" i="1"/>
  <c r="O31" i="1"/>
  <c r="N31" i="1"/>
  <c r="O56" i="1"/>
  <c r="N56" i="1"/>
  <c r="O33" i="1"/>
  <c r="N33" i="1"/>
  <c r="O59" i="1"/>
  <c r="N59" i="1"/>
  <c r="O51" i="1"/>
  <c r="N51" i="1"/>
  <c r="O38" i="1"/>
  <c r="N38" i="1"/>
  <c r="O41" i="1"/>
  <c r="N41" i="1"/>
  <c r="O57" i="1"/>
  <c r="N57" i="1"/>
  <c r="O25" i="1"/>
  <c r="N25" i="1"/>
  <c r="Q22" i="1"/>
  <c r="M27" i="1"/>
  <c r="O22" i="1"/>
  <c r="N22" i="1"/>
  <c r="O23" i="1"/>
  <c r="N23" i="1"/>
  <c r="O19" i="1"/>
  <c r="N19" i="1"/>
  <c r="O17" i="1"/>
  <c r="N17" i="1"/>
  <c r="O16" i="1"/>
  <c r="N16" i="1"/>
  <c r="O12" i="1"/>
  <c r="N12" i="1"/>
  <c r="O21" i="1"/>
  <c r="N21" i="1"/>
  <c r="O15" i="1"/>
  <c r="N15" i="1"/>
  <c r="O14" i="1"/>
  <c r="N14" i="1"/>
  <c r="O20" i="1"/>
  <c r="N20" i="1"/>
  <c r="O18" i="1"/>
  <c r="N18" i="1"/>
  <c r="O11" i="1"/>
  <c r="N11" i="1"/>
  <c r="P38" i="1"/>
  <c r="P33" i="1"/>
  <c r="P56" i="1"/>
  <c r="P46" i="1"/>
  <c r="P58" i="1"/>
  <c r="P62" i="1"/>
  <c r="P65" i="1"/>
  <c r="P39" i="1"/>
  <c r="P61" i="1"/>
  <c r="P49" i="1"/>
  <c r="P50" i="1"/>
  <c r="P52" i="1"/>
  <c r="P60" i="1"/>
  <c r="P25" i="1"/>
  <c r="P28" i="1"/>
  <c r="P48" i="1"/>
  <c r="P41" i="1"/>
  <c r="P45" i="1"/>
  <c r="P43" i="1"/>
  <c r="P57" i="1"/>
  <c r="P40" i="1"/>
  <c r="P63" i="1"/>
  <c r="P55" i="1"/>
  <c r="P53" i="1"/>
  <c r="P59" i="1"/>
  <c r="P54" i="1"/>
  <c r="P64" i="1"/>
  <c r="P51" i="1"/>
  <c r="P36" i="1"/>
  <c r="P29" i="1"/>
  <c r="P37" i="1"/>
  <c r="P32" i="1"/>
  <c r="P47" i="1"/>
  <c r="P26" i="1"/>
  <c r="P34" i="1"/>
  <c r="P42" i="1"/>
  <c r="P35" i="1"/>
  <c r="P31" i="1"/>
  <c r="P27" i="1"/>
  <c r="O13" i="1"/>
  <c r="P14" i="1"/>
  <c r="P15" i="1"/>
  <c r="P13" i="1"/>
  <c r="P21" i="1"/>
  <c r="P18" i="1"/>
  <c r="P23" i="1"/>
  <c r="P22" i="1"/>
  <c r="P16" i="1"/>
  <c r="P19" i="1"/>
  <c r="P20" i="1"/>
  <c r="P17" i="1"/>
</calcChain>
</file>

<file path=xl/sharedStrings.xml><?xml version="1.0" encoding="utf-8"?>
<sst xmlns="http://schemas.openxmlformats.org/spreadsheetml/2006/main" count="536" uniqueCount="289">
  <si>
    <t>This page shows level 1-6 spinal points (3-57) with their salary values.
Click 'print' to get this as a 1-page document.</t>
  </si>
  <si>
    <t>Level 1-6 Spinal Salary Scale</t>
  </si>
  <si>
    <t>This spinal scale is applicable to all staff groups.</t>
  </si>
  <si>
    <t>Point</t>
  </si>
  <si>
    <t>Salary</t>
  </si>
  <si>
    <t>TS Trainee</t>
  </si>
  <si>
    <t>APM1</t>
  </si>
  <si>
    <t>TS1</t>
  </si>
  <si>
    <t>Level 1 Standard Max</t>
  </si>
  <si>
    <t>TS2</t>
  </si>
  <si>
    <t>APM2</t>
  </si>
  <si>
    <t>CCS1</t>
  </si>
  <si>
    <t>Standard Max</t>
  </si>
  <si>
    <t>Level 2 Standard Max</t>
  </si>
  <si>
    <t>CCS2</t>
  </si>
  <si>
    <t>APM3</t>
  </si>
  <si>
    <t>TS3</t>
  </si>
  <si>
    <t>APM4 TG</t>
  </si>
  <si>
    <t>R&amp;T4 TG</t>
  </si>
  <si>
    <t>Level 3 Standard Max</t>
  </si>
  <si>
    <t>TS4</t>
  </si>
  <si>
    <t>APM4</t>
  </si>
  <si>
    <t>R&amp;T4</t>
  </si>
  <si>
    <t>Extended R&amp;T 5</t>
  </si>
  <si>
    <t>Level 4 Standard Max</t>
  </si>
  <si>
    <t>R&amp;T5</t>
  </si>
  <si>
    <t>APM5</t>
  </si>
  <si>
    <t>TS5</t>
  </si>
  <si>
    <t>Level 5 Standard Max</t>
  </si>
  <si>
    <t>TS6</t>
  </si>
  <si>
    <t>APM6</t>
  </si>
  <si>
    <t>R&amp;T6</t>
  </si>
  <si>
    <t>Level 6 Standard Max</t>
  </si>
  <si>
    <t>This page shows Level 7 spinal points with their salary values.
Click 'print' to get this as a 1 page document.</t>
  </si>
  <si>
    <t>Level 7 Spinal Salary Scale</t>
  </si>
  <si>
    <t>This spinal scale is applicable to the following staff groups:</t>
  </si>
  <si>
    <t>APM (Administrative Professional &amp; Managerial) staff</t>
  </si>
  <si>
    <t>TS (Technical Services) staff</t>
  </si>
  <si>
    <t>R&amp;T (Research &amp; Teaching) staff in post prior to 1 August 2021, who have not yet been moved to the new Level 7 R&amp;T banded scale.</t>
  </si>
  <si>
    <t>Spine Point</t>
  </si>
  <si>
    <t>Band</t>
  </si>
  <si>
    <t>Band A</t>
  </si>
  <si>
    <t>Band A maximum</t>
  </si>
  <si>
    <t>Band B</t>
  </si>
  <si>
    <t>Band B maximum</t>
  </si>
  <si>
    <t>Band C</t>
  </si>
  <si>
    <t>Band C maximum</t>
  </si>
  <si>
    <t>Band D</t>
  </si>
  <si>
    <t>Band D minimum</t>
  </si>
  <si>
    <t>APM Level 4</t>
  </si>
  <si>
    <t>TOTALS</t>
  </si>
  <si>
    <t>USS Pens Cost</t>
  </si>
  <si>
    <t>NHS Pens Cost</t>
  </si>
  <si>
    <t>CPAS Pens Cost</t>
  </si>
  <si>
    <t>Ers National Insurance</t>
  </si>
  <si>
    <t>Apprenticeship Levy</t>
  </si>
  <si>
    <t>CRSP Pens Cost</t>
  </si>
  <si>
    <t>USS</t>
  </si>
  <si>
    <t>NHS</t>
  </si>
  <si>
    <t>CPAS</t>
  </si>
  <si>
    <t>CRSP</t>
  </si>
  <si>
    <t>Not Contributing to a Pension</t>
  </si>
  <si>
    <t>Notes &amp; Guidance</t>
  </si>
  <si>
    <t>Document version</t>
  </si>
  <si>
    <t>Key dates</t>
  </si>
  <si>
    <t>Update</t>
  </si>
  <si>
    <t>Staff groups</t>
  </si>
  <si>
    <t>Effective Date</t>
  </si>
  <si>
    <t>Date amended in this file</t>
  </si>
  <si>
    <t>Pay Award</t>
  </si>
  <si>
    <t>L1-3, excluding TS</t>
  </si>
  <si>
    <t>L4-7, excluding TS</t>
  </si>
  <si>
    <t>NI Rates</t>
  </si>
  <si>
    <t>All staff</t>
  </si>
  <si>
    <t>Clinical Salaries</t>
  </si>
  <si>
    <t>Doctors in training, medical research fellows, clinical lecturers</t>
  </si>
  <si>
    <t>Other clinical staff</t>
  </si>
  <si>
    <t>Spreadsheet last updated</t>
  </si>
  <si>
    <t>General</t>
  </si>
  <si>
    <t>For any queries with this spreadsheet, contact the HR MIS team.</t>
  </si>
  <si>
    <t>The 'scale' (zoom) is set to 100% on all tabs in this spreadsheet. This can be adjusted using the + &amp; - buttons in the bottom right of Excel.</t>
  </si>
  <si>
    <t>Print Preview is automatically set, but changes can be made in the page set up section if required.</t>
  </si>
  <si>
    <t>Rates tab</t>
  </si>
  <si>
    <t>The Rates tab gives the current salary, and the employer's pension &amp; national insurance (NI) costs.</t>
  </si>
  <si>
    <t>Use the drop-down selector in the top left of the Rates tab to choose the grade(s) that are displayed.</t>
  </si>
  <si>
    <t>The Salary Points &amp; Employer Costs for that grade will be displayed.</t>
  </si>
  <si>
    <t>If there is a standard maximum spine point for the grade, this will be highlighted in orange.</t>
  </si>
  <si>
    <t>If a pension scheme is not available for the chosen grade, the entry under that column will show as '-'.</t>
  </si>
  <si>
    <t>Veterinary Scales will have AVA &amp; Clinical Supplements figures supplied to the right of the TOTALS. NI &amp; Pension is calculated based on the Salary + the AVA %. The Clinical Supplement can be a percentage up to 15%. The figure in the spreadsheet will always show the maximum 15% figure.</t>
  </si>
  <si>
    <t>Grade group</t>
  </si>
  <si>
    <t>Spine points</t>
  </si>
  <si>
    <t>Pension schemes</t>
  </si>
  <si>
    <t>Manual entry</t>
  </si>
  <si>
    <t>Calculated column</t>
  </si>
  <si>
    <t>Calculated columns</t>
  </si>
  <si>
    <t>Enter a description here to be displayed in the drop-down menu on the Rates tab</t>
  </si>
  <si>
    <t>Enter a number to sort the Grade groups (if A-Z sorting is insufficient)</t>
  </si>
  <si>
    <t>Enter the appropriate column from the Point Lookup tab</t>
  </si>
  <si>
    <t>Enter text here if needed to populate the notes box on the Rates tab (G2:L2)</t>
  </si>
  <si>
    <t>Used in column AH of the Points Lookup tab</t>
  </si>
  <si>
    <t>Enter each spine point for the grade group, starting with the lowest spine point in column 1.</t>
  </si>
  <si>
    <t>Enter the appropriate minimum, standard maxiumum and super maximum spine point for the grade group. Leave blank if not applicable.</t>
  </si>
  <si>
    <t>Select from the drop-down list: 
top-up payments apply if the group includes spine points 3-7
AVA applies to Vets</t>
  </si>
  <si>
    <t>Enter the spinal column for the grade</t>
  </si>
  <si>
    <t>Enter all applicable pension schemes for the grade group, starting from Pension Scheme 1. The order is not important.</t>
  </si>
  <si>
    <t>Each column populates with 1 if the pension scheme applies to the grade group, or 0 if not.</t>
  </si>
  <si>
    <r>
      <t xml:space="preserve">Column populates with the following:
* </t>
    </r>
    <r>
      <rPr>
        <b/>
        <sz val="11"/>
        <color theme="1"/>
        <rFont val="Arial"/>
        <family val="2"/>
      </rPr>
      <t>N/A</t>
    </r>
    <r>
      <rPr>
        <sz val="11"/>
        <color theme="1"/>
        <rFont val="Arial"/>
        <family val="2"/>
      </rPr>
      <t xml:space="preserve"> If USS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 valid pension scheme.
*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 if USS is a valid pension scheme, the grade is on the 1-57 point scale, and any point on the grade is less than the USS threshold point.
*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if USS is a valid pension scheme, but the grade is not on the 1-57 point scale or no point on the grade is less than the USS threshold point.
</t>
    </r>
  </si>
  <si>
    <r>
      <t xml:space="preserve">Column populates with the following:
* </t>
    </r>
    <r>
      <rPr>
        <b/>
        <sz val="11"/>
        <color theme="1"/>
        <rFont val="Arial"/>
        <family val="2"/>
      </rPr>
      <t>N/A</t>
    </r>
    <r>
      <rPr>
        <sz val="11"/>
        <color theme="1"/>
        <rFont val="Arial"/>
        <family val="2"/>
      </rPr>
      <t xml:space="preserve"> If CPAS or CRSP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 valid pension scheme.
*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 if CPAS or CRSP is a valid pension scheme, the grade is on the 1-57 point scale, and any point on the grade is greater than the CPAS/CRSP threshold point.
*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if CPAS or CRSP is a valid pension scheme, but the grade is not on the 1-57 point scale or no point on the grade is greater than the CPAS/CRSP threshold point.
</t>
    </r>
  </si>
  <si>
    <t>Sort order</t>
  </si>
  <si>
    <r>
      <t xml:space="preserve">Points lookup
</t>
    </r>
    <r>
      <rPr>
        <b/>
        <sz val="11"/>
        <color theme="4"/>
        <rFont val="Arial"/>
        <family val="2"/>
      </rPr>
      <t>Spine point</t>
    </r>
    <r>
      <rPr>
        <b/>
        <sz val="11"/>
        <color theme="1"/>
        <rFont val="Arial"/>
        <family val="2"/>
      </rPr>
      <t xml:space="preserve"> range</t>
    </r>
  </si>
  <si>
    <r>
      <t xml:space="preserve">Points lookup
</t>
    </r>
    <r>
      <rPr>
        <b/>
        <sz val="11"/>
        <color theme="4"/>
        <rFont val="Arial"/>
        <family val="2"/>
      </rPr>
      <t>Salary</t>
    </r>
    <r>
      <rPr>
        <b/>
        <sz val="11"/>
        <color theme="1"/>
        <rFont val="Arial"/>
        <family val="2"/>
      </rPr>
      <t xml:space="preserve"> range</t>
    </r>
  </si>
  <si>
    <t>Rates tab notes</t>
  </si>
  <si>
    <t>No of Points</t>
  </si>
  <si>
    <t>Minimum</t>
  </si>
  <si>
    <t>Super Max</t>
  </si>
  <si>
    <t>Additional payments applicable?</t>
  </si>
  <si>
    <t>Spinal column</t>
  </si>
  <si>
    <t>Pension Scheme 1</t>
  </si>
  <si>
    <t>Pension Scheme 2</t>
  </si>
  <si>
    <t>Pension Scheme 3</t>
  </si>
  <si>
    <t>Pension Scheme 4</t>
  </si>
  <si>
    <t>USS threshold spine point (D rate) applies?</t>
  </si>
  <si>
    <t>CPAS / CRSP threshold spine point (A rate) applies?</t>
  </si>
  <si>
    <t>Select From Drop-Down</t>
  </si>
  <si>
    <t>Salary Points 3 to 57</t>
  </si>
  <si>
    <t>D</t>
  </si>
  <si>
    <t>E</t>
  </si>
  <si>
    <t>Level 1-6 (3-57 point)</t>
  </si>
  <si>
    <t>APM Level 1</t>
  </si>
  <si>
    <t>APM Level 2</t>
  </si>
  <si>
    <t>APM Level 3</t>
  </si>
  <si>
    <t>APM Level 4 Training Grade</t>
  </si>
  <si>
    <t>APM Level 5</t>
  </si>
  <si>
    <t>APM Level 6</t>
  </si>
  <si>
    <t>APM Level 7</t>
  </si>
  <si>
    <t>G</t>
  </si>
  <si>
    <t>H</t>
  </si>
  <si>
    <t>Level 7</t>
  </si>
  <si>
    <t>Apprenticeship</t>
  </si>
  <si>
    <t>AJ</t>
  </si>
  <si>
    <t>Child Care Services Level 1</t>
  </si>
  <si>
    <t>AO</t>
  </si>
  <si>
    <t>Child Care Services Level 2</t>
  </si>
  <si>
    <t>Clinical Academic - Clinical Academic Doctors in Training (CLDOCIT)</t>
  </si>
  <si>
    <t>M</t>
  </si>
  <si>
    <t>N</t>
  </si>
  <si>
    <t>Clinical</t>
  </si>
  <si>
    <t>Clinical Academic - Clinical Consultant Old Contract (GP)</t>
  </si>
  <si>
    <t>P</t>
  </si>
  <si>
    <t>Q</t>
  </si>
  <si>
    <t>Clinical Academic - Clinical Lecturer / Medical Research Fellow</t>
  </si>
  <si>
    <t>Clinical Academic - New Consultant contract</t>
  </si>
  <si>
    <t>S</t>
  </si>
  <si>
    <t>T</t>
  </si>
  <si>
    <t>R&amp;T Level 4</t>
  </si>
  <si>
    <t>R&amp;T Level 4 Res Career Training Grade</t>
  </si>
  <si>
    <t>R&amp;T Level 4a</t>
  </si>
  <si>
    <t>R&amp;T Level 5</t>
  </si>
  <si>
    <t>R&amp;T Level 5 - Clinical Lecturers (Vet School)</t>
  </si>
  <si>
    <t>V</t>
  </si>
  <si>
    <t>Y</t>
  </si>
  <si>
    <t>AVA</t>
  </si>
  <si>
    <t>R&amp;T Level 6</t>
  </si>
  <si>
    <t>R&amp;T Level 6 - Clinical Associate Professors and Clinical Readers (Vet School)</t>
  </si>
  <si>
    <t>AC</t>
  </si>
  <si>
    <t>AF</t>
  </si>
  <si>
    <t>R&amp;T Level 7 (pre-2021)</t>
  </si>
  <si>
    <t>R&amp;T Level 7 all bands</t>
  </si>
  <si>
    <t>J</t>
  </si>
  <si>
    <t>K</t>
  </si>
  <si>
    <t>R&amp;T Level 7 Band A</t>
  </si>
  <si>
    <t>R&amp;T Level 7 Band B</t>
  </si>
  <si>
    <t>R&amp;T Level 7 Band C</t>
  </si>
  <si>
    <t>R&amp;T Level 7 Band D</t>
  </si>
  <si>
    <t>Technical Services Level 1</t>
  </si>
  <si>
    <t>Technical Services Level 2</t>
  </si>
  <si>
    <t>Technical Services Level 3</t>
  </si>
  <si>
    <t>Technical Services Level 4</t>
  </si>
  <si>
    <t>Technical Services Level 5</t>
  </si>
  <si>
    <t>Technical Services Level 6</t>
  </si>
  <si>
    <t>Technical Services Level 7</t>
  </si>
  <si>
    <t>Technical Services Trainee</t>
  </si>
  <si>
    <r>
      <rPr>
        <b/>
        <sz val="14"/>
        <color theme="1"/>
        <rFont val="Calibri"/>
        <family val="2"/>
      </rPr>
      <t xml:space="preserve">PRE- PAY AWARD
</t>
    </r>
    <r>
      <rPr>
        <sz val="14"/>
        <color theme="1"/>
        <rFont val="Calibri"/>
        <family val="2"/>
      </rPr>
      <t>Use this only for split pay awards</t>
    </r>
  </si>
  <si>
    <t>note that on the main scale (including the PRE-PAY AWARD scale if necessary) SP1 &amp; SP2 must be manually calculated by applying the % increase for SP3 to the old values</t>
  </si>
  <si>
    <r>
      <rPr>
        <b/>
        <sz val="14"/>
        <color theme="1"/>
        <rFont val="Calibri"/>
        <family val="2"/>
      </rPr>
      <t xml:space="preserve">POST- PAY AWARD </t>
    </r>
    <r>
      <rPr>
        <sz val="14"/>
        <color theme="1"/>
        <rFont val="Calibri"/>
        <family val="2"/>
      </rPr>
      <t xml:space="preserve">
</t>
    </r>
  </si>
  <si>
    <t xml:space="preserve"> </t>
  </si>
  <si>
    <r>
      <t>Points 1-11 = CLLECT ("</t>
    </r>
    <r>
      <rPr>
        <b/>
        <sz val="14"/>
        <color theme="1"/>
        <rFont val="Calibri"/>
        <family val="2"/>
      </rPr>
      <t>pre</t>
    </r>
    <r>
      <rPr>
        <sz val="14"/>
        <color theme="1"/>
        <rFont val="Calibri"/>
        <family val="2"/>
      </rPr>
      <t xml:space="preserve">-2009 Clinical Lecturer scale")
</t>
    </r>
    <r>
      <rPr>
        <b/>
        <sz val="14"/>
        <color theme="4"/>
        <rFont val="Calibri"/>
        <family val="2"/>
      </rPr>
      <t>Points 19-23 = CLCONS OLD ("staff holding honorary consultant contract (pre-2003 contract)")</t>
    </r>
  </si>
  <si>
    <t>"2003 consultant contract"</t>
  </si>
  <si>
    <t>Select on right: does R&amp;T L5 vet rate rely on pre- pay award or post- pay award values?</t>
  </si>
  <si>
    <t>Post- pay award</t>
  </si>
  <si>
    <t>Select on right: does R&amp;T L6 vet rate rely on pre- pay award or post- pay award values?</t>
  </si>
  <si>
    <t>Select on right: does apprenticeship rate rely on pre- pay award or post- pay award values?</t>
  </si>
  <si>
    <t>Level 1-6 Spine Points</t>
  </si>
  <si>
    <t>Level 7 Spine Points</t>
  </si>
  <si>
    <t>Level 7 R&amp;T Banded Spine Points</t>
  </si>
  <si>
    <t>CLDOCIT</t>
  </si>
  <si>
    <t>CLLECT / CLCONS OLD</t>
  </si>
  <si>
    <t>CLCONS - NEW</t>
  </si>
  <si>
    <t>AVA%</t>
  </si>
  <si>
    <t>Salary + AVA</t>
  </si>
  <si>
    <t>Clinical Supplement %</t>
  </si>
  <si>
    <t>Clinical Supplement  Amount</t>
  </si>
  <si>
    <t>Main salary scale point (col A) that apprenticeship point relates to</t>
  </si>
  <si>
    <t>Childcare services</t>
  </si>
  <si>
    <t>Match</t>
  </si>
  <si>
    <t>UCEA Pt 1 removed from scale 01/04/2017</t>
  </si>
  <si>
    <t>UCEA Pt 2 removed from scale 01/08/2019</t>
  </si>
  <si>
    <r>
      <t xml:space="preserve">Spine point values here are used for apprenticeships (see table in cols AJ - AL.)
All values are automatically calculated based on the main spine points 1-9 as indicated by the first digit (i.e. point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16 is referencing spine point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>). 
Cells highlighted with bold red text are to indicate values relying on spine points 1 and 2, which are no longer in use by UCEA. We calculate these manually - see above.</t>
    </r>
  </si>
  <si>
    <t>NI THRESHOLDS &amp; RATES</t>
  </si>
  <si>
    <t>* Update the values of these cells to reflect the current NI Thresholds &amp; Rates</t>
  </si>
  <si>
    <t>Secondary Threshold (ST)</t>
  </si>
  <si>
    <t>Class 1 National Insurance monthly figure</t>
  </si>
  <si>
    <t>LEL to ST</t>
  </si>
  <si>
    <t>Employer (secondary) contribution rates: "earnings at or above lower earnings limit up to and including secondary threshold"</t>
  </si>
  <si>
    <t>ST to UAP</t>
  </si>
  <si>
    <t>Employer (secondary) contribution rates: "earnings above secondary threshold up to and including upper earnings limit"</t>
  </si>
  <si>
    <t>Above UEL</t>
  </si>
  <si>
    <t>Employer (secondary) contribution rates: "balance of earnings above upper earnings limit"</t>
  </si>
  <si>
    <t>Spine points (for pensions &amp; grade maximums)</t>
  </si>
  <si>
    <t>ERS Rates</t>
  </si>
  <si>
    <t>Salary scale</t>
  </si>
  <si>
    <t>Additional payments</t>
  </si>
  <si>
    <t>USS Rate</t>
  </si>
  <si>
    <t>D Rate from / USS Start</t>
  </si>
  <si>
    <t>NHS Rate</t>
  </si>
  <si>
    <t>A rate stops</t>
  </si>
  <si>
    <t>CPAS Rate</t>
  </si>
  <si>
    <t>CRSP Rate</t>
  </si>
  <si>
    <t>Main scale point used prior to April 2022</t>
  </si>
  <si>
    <t>R&amp;T Level 5 Extended</t>
  </si>
  <si>
    <t>L1-3 TS</t>
  </si>
  <si>
    <t>L4-7 TS</t>
  </si>
  <si>
    <t>R&amp;T 4a
Standard Max</t>
  </si>
  <si>
    <t xml:space="preserve">R&amp;T 4a
</t>
  </si>
  <si>
    <t>Point 25 not used for RT 4a and Training Grades</t>
  </si>
  <si>
    <t>The drop-down selection 'Salary Points to 3 - 57' shows all spine points on the 3-57 point scale. CRSP is available to the bottom of Level 3. USS is available from the bottom of Level 4.</t>
  </si>
  <si>
    <t>OF1</t>
  </si>
  <si>
    <t>OF2</t>
  </si>
  <si>
    <t>OF3</t>
  </si>
  <si>
    <t>CCS2
Standard Max</t>
  </si>
  <si>
    <t>CCS1
Standard Max</t>
  </si>
  <si>
    <t>O&amp;F Level 1</t>
  </si>
  <si>
    <t>O&amp;F Level 2</t>
  </si>
  <si>
    <t>O&amp;F Level 3</t>
  </si>
  <si>
    <t>Clinical Academic Scales</t>
  </si>
  <si>
    <t>Clinical Lecturer / Medical Research Fellow</t>
  </si>
  <si>
    <t>Stage of NHS training</t>
  </si>
  <si>
    <t>FY1</t>
  </si>
  <si>
    <t>FY2</t>
  </si>
  <si>
    <t>CT3 or ST3/SpR3
ST4 / SpR4
ST5 / SpR5</t>
  </si>
  <si>
    <t>CT1 or ST1/SpR1
CT2 or ST2/SpR2</t>
  </si>
  <si>
    <t>ST6 / SpR6
ST7 / SpR7
ST8 / SpR8</t>
  </si>
  <si>
    <t>Clinical Academic Doctor In Training</t>
  </si>
  <si>
    <t>This page shows Clinical Academic spinal points with their salary values.
Click 'print' to get this as a 1 page document.</t>
  </si>
  <si>
    <t>Clinical consultant</t>
  </si>
  <si>
    <t>Salary - old contract (GP)</t>
  </si>
  <si>
    <t>Salary - new contract</t>
  </si>
  <si>
    <t>Threshold Point</t>
  </si>
  <si>
    <t>Nodal Point</t>
  </si>
  <si>
    <t>These spinal scales are applicable to Clinical Academic staff only and are updated following government decisions on NHS pay.</t>
  </si>
  <si>
    <t>O&amp;F Shift Extended Hours = £4,014.67
O&amp;F Shift 24/7 = £5,353.01
-where applicable-</t>
  </si>
  <si>
    <t>Standard Maximum</t>
  </si>
  <si>
    <t>R&amp;T (Research &amp; Teaching) staff with a post starting on or after 1 August 2021, and R&amp;T staff in post prior to 1 August 2021 who have already moved from the old Level 7 Scale.</t>
  </si>
  <si>
    <t>AM</t>
  </si>
  <si>
    <t>AP</t>
  </si>
  <si>
    <t>This page shows Apprenticeship spinal points with their salary values.
Click 'print' to get this as a 1 page document.</t>
  </si>
  <si>
    <t>Matches UCEA (Level 1-6) spine point 3</t>
  </si>
  <si>
    <t>Matches UCEA (Level 1-6) spine point 7</t>
  </si>
  <si>
    <t>Matches UCEA (Level 1-6) spine point 8</t>
  </si>
  <si>
    <t>Matches UCEA (Level 1-6) spine point 9</t>
  </si>
  <si>
    <t>Calculated as 70% of UCEA (Level 1-6) spine point 3</t>
  </si>
  <si>
    <t>Calculated as 85% of UCEA (Level 1-6) spine point 3</t>
  </si>
  <si>
    <t>Calculated to match UCEA (Level 1-6) spine point 2</t>
  </si>
  <si>
    <t>L4-7</t>
  </si>
  <si>
    <t>L1-3</t>
  </si>
  <si>
    <t>L1-3 (closed to new members since 2006)</t>
  </si>
  <si>
    <t>Clinical academic staff</t>
  </si>
  <si>
    <r>
      <rPr>
        <b/>
        <sz val="11"/>
        <color theme="1"/>
        <rFont val="Arial"/>
        <family val="2"/>
      </rPr>
      <t>Points 1 - 9 are not in use at the University of Nottingham for staff on the Level 1-6 scale. The lowest point is point 10.</t>
    </r>
    <r>
      <rPr>
        <sz val="11"/>
        <color theme="1"/>
        <rFont val="Arial"/>
        <family val="2"/>
      </rPr>
      <t xml:space="preserve">
Point 1 was removed from the UCEA Salary Scale with effect from 1 April 2017. 
Point 2 was removed from the UCEA Salary Scale with effect from 1 August 2019.
Points 3-9 remain on the UCEA Salary Scale but are not used on this scale.</t>
    </r>
  </si>
  <si>
    <t>CRSP Employers % is calculated as 12% though in practice this could be a lower figure depending on the contribution the employee decides to make.</t>
  </si>
  <si>
    <t>Apprenticeship Scale</t>
  </si>
  <si>
    <t>These spinal scales are applicable to staff on the Apprenticeship pay grade only.
The Trainee Technician pay grade is shown on the Level 1-6 Scale.</t>
  </si>
  <si>
    <t>Pre- pay award</t>
  </si>
  <si>
    <t>Salary Points 3 to 57 (post-pay award)</t>
  </si>
  <si>
    <t>A</t>
  </si>
  <si>
    <t>B</t>
  </si>
  <si>
    <r>
      <rPr>
        <b/>
        <sz val="11"/>
        <color theme="1" tint="0.14999847407452621"/>
        <rFont val="Arial"/>
        <family val="2"/>
      </rPr>
      <t>NOTES</t>
    </r>
    <r>
      <rPr>
        <sz val="11"/>
        <color theme="1" tint="0.14999847407452621"/>
        <rFont val="Arial"/>
        <family val="2"/>
      </rPr>
      <t xml:space="preserve">
CPAS is not available to new employees.
From 1 April 2016, there has only been one single rate of NI, previously known as 'A' rate, which applies to all employees regardless of pension status.
From 6 April 2017, an apprenticeship levy is payable to HMRC which applies to all employees.
From 1 April 2023, there are no employers NIC payable for workers under 21 who earn less than £50270 (Upper Secondary Threshold).</t>
    </r>
  </si>
  <si>
    <r>
      <t xml:space="preserve">For staff groups whose salary values </t>
    </r>
    <r>
      <rPr>
        <b/>
        <sz val="11"/>
        <color theme="1"/>
        <rFont val="Arial"/>
        <family val="2"/>
      </rPr>
      <t>have</t>
    </r>
    <r>
      <rPr>
        <sz val="11"/>
        <color theme="1"/>
        <rFont val="Arial"/>
        <family val="2"/>
      </rPr>
      <t xml:space="preserve"> been updated</t>
    </r>
  </si>
  <si>
    <r>
      <t xml:space="preserve">For staff groups whose salary values </t>
    </r>
    <r>
      <rPr>
        <b/>
        <sz val="11"/>
        <color theme="1"/>
        <rFont val="Arial"/>
        <family val="2"/>
      </rPr>
      <t>have not</t>
    </r>
    <r>
      <rPr>
        <sz val="11"/>
        <color theme="1"/>
        <rFont val="Arial"/>
        <family val="2"/>
      </rPr>
      <t xml:space="preserve"> been updated</t>
    </r>
  </si>
  <si>
    <r>
      <t xml:space="preserve">Following the February 2023 pay award, salary values have been updated for the following staff groups:
</t>
    </r>
    <r>
      <rPr>
        <sz val="11"/>
        <rFont val="Arial"/>
        <family val="2"/>
      </rPr>
      <t xml:space="preserve">APM (Administrative Professional &amp; Managerial) Levels 4-6
R&amp;T (Research &amp; Teaching) Levels 4-6
TS (Technical Services) Levels 4-6
</t>
    </r>
    <r>
      <rPr>
        <b/>
        <sz val="11"/>
        <rFont val="Arial"/>
        <family val="2"/>
      </rPr>
      <t>These staff groups should refer to column K for their salary values.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All other staff groups should refer to column L for their salary values.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</si>
</sst>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;;;"/>
    <numFmt numFmtId="165" formatCode="0.0%"/>
    <numFmt numFmtId="166" formatCode="&quot;£&quot;#,##0"/>
    <numFmt numFmtId="167" formatCode="0_ ;\-0\ "/>
    <numFmt numFmtId="168" formatCode="0_ ;[Red]\-0\ "/>
    <numFmt numFmtId="169" formatCode="d\ mmmm\ yyyy"/>
    <numFmt numFmtId="170" formatCode="0;\-0;\-"/>
  </numFmts>
  <fonts count="5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0"/>
      <color rgb="FFFF0000"/>
      <name val="Arial"/>
      <family val="2"/>
    </font>
    <font>
      <b/>
      <sz val="11"/>
      <color theme="1" tint="0.14999847407452621"/>
      <name val="Arial"/>
      <family val="2"/>
    </font>
    <font>
      <b/>
      <sz val="14"/>
      <color theme="1" tint="0.1499984740745262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1"/>
      <color theme="1" tint="0.14999847407452621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sz val="24"/>
      <color rgb="FFC00000"/>
      <name val="Arial"/>
      <family val="2"/>
    </font>
    <font>
      <sz val="9"/>
      <color rgb="FFC00000"/>
      <name val="Verdana"/>
      <family val="2"/>
    </font>
    <font>
      <b/>
      <sz val="10.5"/>
      <name val="Arial"/>
      <family val="2"/>
    </font>
    <font>
      <sz val="11"/>
      <color indexed="8"/>
      <name val="Arial"/>
      <family val="2"/>
    </font>
    <font>
      <b/>
      <sz val="14"/>
      <color theme="4"/>
      <name val="Calibri"/>
      <family val="2"/>
    </font>
    <font>
      <b/>
      <sz val="14"/>
      <color theme="4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</font>
    <font>
      <b/>
      <sz val="11"/>
      <color theme="4"/>
      <name val="Arial"/>
      <family val="2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b/>
      <sz val="18"/>
      <color theme="1"/>
      <name val="Arial"/>
      <family val="2"/>
    </font>
    <font>
      <b/>
      <sz val="36"/>
      <color theme="1"/>
      <name val="Arial"/>
      <family val="2"/>
    </font>
    <font>
      <sz val="9"/>
      <color theme="1"/>
      <name val="Calibri"/>
      <family val="2"/>
    </font>
    <font>
      <sz val="8"/>
      <name val="Calibri"/>
      <family val="2"/>
    </font>
    <font>
      <sz val="26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9" fontId="4" fillId="0" borderId="1" xfId="0" applyNumberFormat="1" applyFont="1" applyBorder="1" applyAlignment="1" applyProtection="1">
      <alignment horizontal="center" vertical="center"/>
      <protection hidden="1"/>
    </xf>
    <xf numFmtId="0" fontId="6" fillId="4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right" vertical="center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165" fontId="0" fillId="2" borderId="16" xfId="5" applyNumberFormat="1" applyFont="1" applyFill="1" applyBorder="1" applyAlignment="1" applyProtection="1">
      <alignment horizontal="center" vertical="center"/>
      <protection hidden="1"/>
    </xf>
    <xf numFmtId="168" fontId="10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hidden="1"/>
    </xf>
    <xf numFmtId="167" fontId="10" fillId="0" borderId="1" xfId="6" applyNumberFormat="1" applyFont="1" applyBorder="1" applyAlignment="1">
      <alignment horizontal="center"/>
    </xf>
    <xf numFmtId="0" fontId="4" fillId="0" borderId="11" xfId="0" applyFont="1" applyBorder="1" applyAlignment="1" applyProtection="1">
      <alignment horizontal="center" vertical="center"/>
      <protection hidden="1"/>
    </xf>
    <xf numFmtId="168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4" fillId="0" borderId="0" xfId="0" applyFont="1"/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5" fillId="9" borderId="1" xfId="0" applyFont="1" applyFill="1" applyBorder="1" applyAlignment="1" applyProtection="1">
      <alignment horizontal="center" vertical="center"/>
      <protection hidden="1"/>
    </xf>
    <xf numFmtId="0" fontId="15" fillId="9" borderId="10" xfId="0" applyFont="1" applyFill="1" applyBorder="1" applyAlignment="1" applyProtection="1">
      <alignment horizontal="center" vertical="center"/>
      <protection hidden="1"/>
    </xf>
    <xf numFmtId="0" fontId="15" fillId="9" borderId="15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vertical="center"/>
      <protection hidden="1"/>
    </xf>
    <xf numFmtId="0" fontId="10" fillId="0" borderId="5" xfId="0" applyFont="1" applyBorder="1" applyAlignment="1" applyProtection="1">
      <alignment vertical="center"/>
      <protection hidden="1"/>
    </xf>
    <xf numFmtId="0" fontId="10" fillId="0" borderId="9" xfId="0" applyFont="1" applyBorder="1" applyAlignment="1" applyProtection="1">
      <alignment vertical="center"/>
      <protection hidden="1"/>
    </xf>
    <xf numFmtId="0" fontId="10" fillId="0" borderId="6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0" fillId="0" borderId="8" xfId="0" applyFont="1" applyBorder="1" applyAlignment="1" applyProtection="1">
      <alignment vertical="center"/>
      <protection hidden="1"/>
    </xf>
    <xf numFmtId="0" fontId="14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textRotation="180"/>
      <protection hidden="1"/>
    </xf>
    <xf numFmtId="0" fontId="13" fillId="0" borderId="0" xfId="0" applyFont="1" applyAlignment="1" applyProtection="1">
      <alignment horizontal="center" vertical="center" textRotation="180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25" fillId="0" borderId="8" xfId="0" applyFont="1" applyBorder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21" fillId="5" borderId="0" xfId="0" applyFont="1" applyFill="1" applyAlignment="1" applyProtection="1">
      <alignment horizontal="center" vertical="center" wrapText="1"/>
      <protection hidden="1"/>
    </xf>
    <xf numFmtId="0" fontId="19" fillId="8" borderId="15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19" fillId="7" borderId="1" xfId="0" applyFont="1" applyFill="1" applyBorder="1" applyAlignment="1" applyProtection="1">
      <alignment horizontal="center" vertical="center" wrapText="1"/>
      <protection hidden="1"/>
    </xf>
    <xf numFmtId="0" fontId="19" fillId="6" borderId="1" xfId="0" applyFont="1" applyFill="1" applyBorder="1" applyAlignment="1" applyProtection="1">
      <alignment horizontal="center" vertical="center" wrapText="1"/>
      <protection hidden="1"/>
    </xf>
    <xf numFmtId="1" fontId="17" fillId="0" borderId="0" xfId="0" applyNumberFormat="1" applyFont="1" applyAlignment="1" applyProtection="1">
      <alignment horizontal="center" vertical="center"/>
      <protection hidden="1"/>
    </xf>
    <xf numFmtId="9" fontId="17" fillId="0" borderId="0" xfId="0" applyNumberFormat="1" applyFont="1" applyAlignment="1" applyProtection="1">
      <alignment horizontal="center" vertical="center" wrapText="1"/>
      <protection hidden="1"/>
    </xf>
    <xf numFmtId="1" fontId="17" fillId="0" borderId="0" xfId="0" applyNumberFormat="1" applyFont="1" applyAlignment="1" applyProtection="1">
      <alignment horizontal="center" vertical="center" wrapText="1"/>
      <protection hidden="1"/>
    </xf>
    <xf numFmtId="0" fontId="35" fillId="2" borderId="1" xfId="0" applyFont="1" applyFill="1" applyBorder="1" applyAlignment="1" applyProtection="1">
      <alignment horizontal="center" vertical="center"/>
      <protection hidden="1"/>
    </xf>
    <xf numFmtId="0" fontId="15" fillId="11" borderId="1" xfId="0" applyFont="1" applyFill="1" applyBorder="1" applyAlignment="1" applyProtection="1">
      <alignment horizontal="center" vertical="center" wrapText="1"/>
      <protection hidden="1"/>
    </xf>
    <xf numFmtId="166" fontId="15" fillId="11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0" fillId="0" borderId="2" xfId="0" applyFont="1" applyBorder="1" applyAlignment="1" applyProtection="1">
      <alignment vertical="center"/>
      <protection hidden="1"/>
    </xf>
    <xf numFmtId="0" fontId="13" fillId="2" borderId="13" xfId="0" applyFont="1" applyFill="1" applyBorder="1" applyAlignment="1" applyProtection="1">
      <alignment horizontal="left" vertical="center" wrapText="1"/>
      <protection hidden="1"/>
    </xf>
    <xf numFmtId="0" fontId="33" fillId="0" borderId="6" xfId="0" applyFont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13" fillId="0" borderId="17" xfId="0" applyFont="1" applyBorder="1" applyAlignment="1" applyProtection="1">
      <alignment horizontal="center" vertical="center" textRotation="180"/>
      <protection hidden="1"/>
    </xf>
    <xf numFmtId="0" fontId="10" fillId="0" borderId="18" xfId="0" applyFont="1" applyBorder="1" applyAlignment="1" applyProtection="1">
      <alignment vertical="center"/>
      <protection hidden="1"/>
    </xf>
    <xf numFmtId="0" fontId="10" fillId="0" borderId="17" xfId="0" applyFont="1" applyBorder="1" applyAlignment="1" applyProtection="1">
      <alignment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0" fontId="28" fillId="2" borderId="10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1" fontId="7" fillId="5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/>
      <protection hidden="1"/>
    </xf>
    <xf numFmtId="168" fontId="38" fillId="0" borderId="1" xfId="0" applyNumberFormat="1" applyFont="1" applyBorder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vertical="center" wrapText="1"/>
    </xf>
    <xf numFmtId="14" fontId="10" fillId="5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left" wrapText="1"/>
    </xf>
    <xf numFmtId="14" fontId="10" fillId="5" borderId="0" xfId="0" applyNumberFormat="1" applyFont="1" applyFill="1" applyAlignment="1">
      <alignment horizontal="left" wrapText="1"/>
    </xf>
    <xf numFmtId="0" fontId="10" fillId="5" borderId="0" xfId="0" applyFont="1" applyFill="1"/>
    <xf numFmtId="0" fontId="18" fillId="0" borderId="0" xfId="0" applyFont="1" applyAlignment="1" applyProtection="1">
      <alignment vertical="center"/>
      <protection hidden="1"/>
    </xf>
    <xf numFmtId="0" fontId="35" fillId="2" borderId="1" xfId="0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13" fillId="9" borderId="1" xfId="0" applyFont="1" applyFill="1" applyBorder="1" applyAlignment="1">
      <alignment horizontal="left" vertical="center" wrapText="1"/>
    </xf>
    <xf numFmtId="0" fontId="13" fillId="18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3" fontId="20" fillId="0" borderId="1" xfId="0" applyNumberFormat="1" applyFont="1" applyBorder="1" applyAlignment="1">
      <alignment horizontal="center"/>
    </xf>
    <xf numFmtId="0" fontId="5" fillId="19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19" borderId="1" xfId="0" applyFont="1" applyFill="1" applyBorder="1" applyAlignment="1" applyProtection="1">
      <alignment horizontal="center" vertical="center" wrapText="1"/>
      <protection hidden="1"/>
    </xf>
    <xf numFmtId="166" fontId="15" fillId="9" borderId="1" xfId="0" applyNumberFormat="1" applyFont="1" applyFill="1" applyBorder="1" applyAlignment="1" applyProtection="1">
      <alignment horizontal="center" vertical="center"/>
      <protection hidden="1"/>
    </xf>
    <xf numFmtId="166" fontId="15" fillId="9" borderId="10" xfId="0" applyNumberFormat="1" applyFont="1" applyFill="1" applyBorder="1" applyAlignment="1" applyProtection="1">
      <alignment horizontal="center" vertical="center"/>
      <protection hidden="1"/>
    </xf>
    <xf numFmtId="166" fontId="35" fillId="2" borderId="1" xfId="0" applyNumberFormat="1" applyFont="1" applyFill="1" applyBorder="1" applyAlignment="1" applyProtection="1">
      <alignment horizontal="center" vertical="center"/>
      <protection hidden="1"/>
    </xf>
    <xf numFmtId="166" fontId="15" fillId="9" borderId="15" xfId="0" applyNumberFormat="1" applyFont="1" applyFill="1" applyBorder="1" applyAlignment="1" applyProtection="1">
      <alignment horizontal="center" vertical="center"/>
      <protection hidden="1"/>
    </xf>
    <xf numFmtId="0" fontId="13" fillId="15" borderId="1" xfId="0" applyFont="1" applyFill="1" applyBorder="1" applyAlignment="1" applyProtection="1">
      <alignment horizontal="center" vertical="center"/>
      <protection hidden="1"/>
    </xf>
    <xf numFmtId="0" fontId="13" fillId="15" borderId="1" xfId="0" applyFont="1" applyFill="1" applyBorder="1" applyAlignment="1" applyProtection="1">
      <alignment horizontal="center" vertical="center" wrapText="1"/>
      <protection hidden="1"/>
    </xf>
    <xf numFmtId="0" fontId="13" fillId="18" borderId="1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/>
    </xf>
    <xf numFmtId="0" fontId="36" fillId="0" borderId="14" xfId="1" applyFont="1" applyBorder="1" applyAlignment="1" applyProtection="1">
      <alignment horizontal="left" vertical="top"/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14" xfId="0" applyFont="1" applyBorder="1" applyProtection="1">
      <protection hidden="1"/>
    </xf>
    <xf numFmtId="0" fontId="36" fillId="0" borderId="14" xfId="3" applyFont="1" applyBorder="1" applyAlignment="1" applyProtection="1">
      <alignment horizontal="left" vertical="center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0" fontId="10" fillId="0" borderId="15" xfId="0" applyFont="1" applyBorder="1" applyProtection="1">
      <protection hidden="1"/>
    </xf>
    <xf numFmtId="0" fontId="41" fillId="15" borderId="1" xfId="1" applyFont="1" applyFill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vertical="center"/>
      <protection hidden="1"/>
    </xf>
    <xf numFmtId="0" fontId="10" fillId="14" borderId="14" xfId="0" applyFont="1" applyFill="1" applyBorder="1" applyAlignment="1" applyProtection="1">
      <alignment horizontal="center"/>
      <protection hidden="1"/>
    </xf>
    <xf numFmtId="0" fontId="10" fillId="14" borderId="15" xfId="0" applyFont="1" applyFill="1" applyBorder="1" applyAlignment="1" applyProtection="1">
      <alignment horizontal="center"/>
      <protection hidden="1"/>
    </xf>
    <xf numFmtId="0" fontId="41" fillId="13" borderId="1" xfId="1" applyFont="1" applyFill="1" applyBorder="1" applyAlignment="1" applyProtection="1">
      <alignment horizontal="center" vertical="center" wrapText="1"/>
      <protection hidden="1"/>
    </xf>
    <xf numFmtId="0" fontId="41" fillId="2" borderId="1" xfId="1" applyFont="1" applyFill="1" applyBorder="1" applyAlignment="1" applyProtection="1">
      <alignment horizontal="left" vertical="center" wrapText="1"/>
      <protection hidden="1"/>
    </xf>
    <xf numFmtId="0" fontId="41" fillId="20" borderId="1" xfId="1" applyFont="1" applyFill="1" applyBorder="1" applyAlignment="1" applyProtection="1">
      <alignment vertical="center" wrapText="1"/>
      <protection hidden="1"/>
    </xf>
    <xf numFmtId="0" fontId="13" fillId="12" borderId="1" xfId="0" applyFont="1" applyFill="1" applyBorder="1" applyAlignment="1" applyProtection="1">
      <alignment horizontal="center" vertical="center"/>
      <protection hidden="1"/>
    </xf>
    <xf numFmtId="0" fontId="36" fillId="19" borderId="14" xfId="1" applyFont="1" applyFill="1" applyBorder="1" applyAlignment="1" applyProtection="1">
      <alignment horizontal="center" vertical="top"/>
      <protection hidden="1"/>
    </xf>
    <xf numFmtId="0" fontId="36" fillId="19" borderId="15" xfId="1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 wrapText="1"/>
      <protection hidden="1"/>
    </xf>
    <xf numFmtId="0" fontId="10" fillId="9" borderId="14" xfId="0" applyFont="1" applyFill="1" applyBorder="1" applyAlignment="1" applyProtection="1">
      <alignment wrapText="1"/>
      <protection hidden="1"/>
    </xf>
    <xf numFmtId="0" fontId="10" fillId="19" borderId="14" xfId="0" applyFont="1" applyFill="1" applyBorder="1" applyAlignment="1" applyProtection="1">
      <alignment wrapText="1"/>
      <protection hidden="1"/>
    </xf>
    <xf numFmtId="0" fontId="13" fillId="2" borderId="1" xfId="0" applyFont="1" applyFill="1" applyBorder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alignment vertical="center" wrapText="1"/>
      <protection hidden="1"/>
    </xf>
    <xf numFmtId="0" fontId="10" fillId="0" borderId="14" xfId="0" applyFont="1" applyBorder="1" applyAlignment="1" applyProtection="1">
      <alignment wrapText="1"/>
      <protection hidden="1"/>
    </xf>
    <xf numFmtId="0" fontId="10" fillId="14" borderId="14" xfId="0" applyFont="1" applyFill="1" applyBorder="1" applyProtection="1">
      <protection hidden="1"/>
    </xf>
    <xf numFmtId="0" fontId="10" fillId="9" borderId="21" xfId="0" applyFont="1" applyFill="1" applyBorder="1" applyAlignment="1" applyProtection="1">
      <alignment vertical="center" wrapText="1"/>
      <protection hidden="1"/>
    </xf>
    <xf numFmtId="0" fontId="10" fillId="19" borderId="21" xfId="0" applyFont="1" applyFill="1" applyBorder="1" applyAlignment="1" applyProtection="1">
      <alignment vertical="center" wrapText="1"/>
      <protection hidden="1"/>
    </xf>
    <xf numFmtId="0" fontId="19" fillId="21" borderId="4" xfId="0" applyFont="1" applyFill="1" applyBorder="1" applyProtection="1">
      <protection hidden="1"/>
    </xf>
    <xf numFmtId="0" fontId="19" fillId="21" borderId="0" xfId="0" applyFont="1" applyFill="1" applyProtection="1">
      <protection hidden="1"/>
    </xf>
    <xf numFmtId="0" fontId="19" fillId="21" borderId="5" xfId="0" applyFont="1" applyFill="1" applyBorder="1" applyProtection="1">
      <protection hidden="1"/>
    </xf>
    <xf numFmtId="0" fontId="19" fillId="16" borderId="0" xfId="0" applyFont="1" applyFill="1" applyProtection="1">
      <protection hidden="1"/>
    </xf>
    <xf numFmtId="0" fontId="19" fillId="16" borderId="4" xfId="0" applyFont="1" applyFill="1" applyBorder="1" applyProtection="1">
      <protection hidden="1"/>
    </xf>
    <xf numFmtId="0" fontId="10" fillId="19" borderId="0" xfId="0" applyFont="1" applyFill="1" applyAlignment="1" applyProtection="1">
      <alignment wrapText="1"/>
      <protection hidden="1"/>
    </xf>
    <xf numFmtId="0" fontId="10" fillId="19" borderId="23" xfId="0" applyFont="1" applyFill="1" applyBorder="1" applyAlignment="1" applyProtection="1">
      <alignment vertical="center" wrapText="1"/>
      <protection hidden="1"/>
    </xf>
    <xf numFmtId="0" fontId="10" fillId="14" borderId="14" xfId="0" applyFont="1" applyFill="1" applyBorder="1" applyAlignment="1" applyProtection="1">
      <alignment wrapText="1"/>
      <protection hidden="1"/>
    </xf>
    <xf numFmtId="0" fontId="10" fillId="14" borderId="21" xfId="0" applyFont="1" applyFill="1" applyBorder="1" applyAlignment="1" applyProtection="1">
      <alignment vertical="center" wrapText="1"/>
      <protection hidden="1"/>
    </xf>
    <xf numFmtId="0" fontId="0" fillId="9" borderId="1" xfId="0" applyFill="1" applyBorder="1"/>
    <xf numFmtId="0" fontId="0" fillId="9" borderId="16" xfId="0" applyFill="1" applyBorder="1" applyAlignment="1" applyProtection="1">
      <alignment horizontal="center" vertical="center"/>
      <protection hidden="1"/>
    </xf>
    <xf numFmtId="0" fontId="8" fillId="9" borderId="16" xfId="0" applyFont="1" applyFill="1" applyBorder="1" applyAlignment="1" applyProtection="1">
      <alignment horizontal="center" vertical="center"/>
      <protection hidden="1"/>
    </xf>
    <xf numFmtId="0" fontId="0" fillId="5" borderId="16" xfId="0" applyFill="1" applyBorder="1" applyAlignment="1" applyProtection="1">
      <alignment horizontal="center" vertical="center"/>
      <protection hidden="1"/>
    </xf>
    <xf numFmtId="0" fontId="8" fillId="0" borderId="1" xfId="0" applyFont="1" applyBorder="1"/>
    <xf numFmtId="0" fontId="13" fillId="12" borderId="1" xfId="0" applyFont="1" applyFill="1" applyBorder="1" applyAlignment="1" applyProtection="1">
      <alignment vertical="center" wrapText="1"/>
      <protection hidden="1"/>
    </xf>
    <xf numFmtId="0" fontId="10" fillId="14" borderId="15" xfId="0" applyFont="1" applyFill="1" applyBorder="1" applyProtection="1">
      <protection hidden="1"/>
    </xf>
    <xf numFmtId="0" fontId="42" fillId="9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64" fontId="20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9" fontId="29" fillId="0" borderId="0" xfId="0" applyNumberFormat="1" applyFont="1" applyAlignment="1" applyProtection="1">
      <alignment horizontal="center" vertical="center" wrapText="1"/>
      <protection hidden="1"/>
    </xf>
    <xf numFmtId="1" fontId="29" fillId="0" borderId="0" xfId="0" applyNumberFormat="1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36" fillId="9" borderId="14" xfId="1" applyFont="1" applyFill="1" applyBorder="1" applyAlignment="1" applyProtection="1">
      <alignment horizontal="left" vertical="center" wrapText="1"/>
      <protection hidden="1"/>
    </xf>
    <xf numFmtId="0" fontId="10" fillId="9" borderId="14" xfId="0" applyFont="1" applyFill="1" applyBorder="1" applyProtection="1">
      <protection hidden="1"/>
    </xf>
    <xf numFmtId="0" fontId="36" fillId="9" borderId="14" xfId="1" applyFont="1" applyFill="1" applyBorder="1" applyAlignment="1" applyProtection="1">
      <alignment horizontal="center" vertical="center" wrapText="1"/>
      <protection hidden="1"/>
    </xf>
    <xf numFmtId="0" fontId="10" fillId="9" borderId="14" xfId="0" applyFont="1" applyFill="1" applyBorder="1" applyAlignment="1" applyProtection="1">
      <alignment horizontal="center" vertical="center"/>
      <protection hidden="1"/>
    </xf>
    <xf numFmtId="0" fontId="10" fillId="9" borderId="14" xfId="0" applyFont="1" applyFill="1" applyBorder="1" applyAlignment="1" applyProtection="1">
      <alignment horizontal="center"/>
      <protection hidden="1"/>
    </xf>
    <xf numFmtId="0" fontId="32" fillId="0" borderId="1" xfId="0" applyFont="1" applyBorder="1" applyAlignment="1">
      <alignment horizontal="center"/>
    </xf>
    <xf numFmtId="167" fontId="32" fillId="0" borderId="1" xfId="6" applyNumberFormat="1" applyFont="1" applyBorder="1" applyAlignment="1">
      <alignment horizontal="center"/>
    </xf>
    <xf numFmtId="0" fontId="31" fillId="0" borderId="0" xfId="0" applyFont="1" applyAlignment="1">
      <alignment horizontal="center" wrapText="1"/>
    </xf>
    <xf numFmtId="167" fontId="10" fillId="0" borderId="0" xfId="6" applyNumberFormat="1" applyFont="1" applyBorder="1" applyAlignment="1">
      <alignment horizontal="center" wrapText="1"/>
    </xf>
    <xf numFmtId="3" fontId="34" fillId="0" borderId="0" xfId="7" applyNumberFormat="1" applyFont="1" applyAlignment="1">
      <alignment horizontal="right" vertical="center" wrapText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32" fillId="2" borderId="1" xfId="0" applyFont="1" applyFill="1" applyBorder="1" applyAlignment="1" applyProtection="1">
      <alignment horizontal="center" vertical="center"/>
      <protection hidden="1"/>
    </xf>
    <xf numFmtId="0" fontId="32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 applyProtection="1">
      <alignment horizontal="center" vertical="center"/>
      <protection hidden="1"/>
    </xf>
    <xf numFmtId="1" fontId="4" fillId="0" borderId="10" xfId="0" applyNumberFormat="1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1" fontId="4" fillId="0" borderId="24" xfId="0" applyNumberFormat="1" applyFont="1" applyBorder="1" applyAlignment="1" applyProtection="1">
      <alignment horizontal="center" vertical="center"/>
      <protection hidden="1"/>
    </xf>
    <xf numFmtId="0" fontId="32" fillId="2" borderId="25" xfId="0" applyFont="1" applyFill="1" applyBorder="1" applyAlignment="1">
      <alignment horizontal="center" vertical="center"/>
    </xf>
    <xf numFmtId="1" fontId="4" fillId="0" borderId="25" xfId="0" applyNumberFormat="1" applyFont="1" applyBorder="1" applyAlignment="1" applyProtection="1">
      <alignment horizontal="center" vertical="center"/>
      <protection hidden="1"/>
    </xf>
    <xf numFmtId="1" fontId="4" fillId="0" borderId="27" xfId="0" applyNumberFormat="1" applyFont="1" applyBorder="1" applyAlignment="1" applyProtection="1">
      <alignment horizontal="center" vertical="center"/>
      <protection hidden="1"/>
    </xf>
    <xf numFmtId="1" fontId="4" fillId="0" borderId="28" xfId="0" applyNumberFormat="1" applyFont="1" applyBorder="1" applyAlignment="1" applyProtection="1">
      <alignment horizontal="center" vertical="center"/>
      <protection hidden="1"/>
    </xf>
    <xf numFmtId="0" fontId="4" fillId="9" borderId="29" xfId="0" applyFont="1" applyFill="1" applyBorder="1" applyAlignment="1" applyProtection="1">
      <alignment horizontal="center" vertical="center"/>
      <protection hidden="1"/>
    </xf>
    <xf numFmtId="1" fontId="4" fillId="0" borderId="29" xfId="0" applyNumberFormat="1" applyFont="1" applyBorder="1" applyAlignment="1" applyProtection="1">
      <alignment horizontal="center" vertical="center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2" fillId="2" borderId="31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/>
    </xf>
    <xf numFmtId="0" fontId="4" fillId="9" borderId="32" xfId="0" applyFont="1" applyFill="1" applyBorder="1" applyAlignment="1" applyProtection="1">
      <alignment horizontal="center" vertical="center"/>
      <protection hidden="1"/>
    </xf>
    <xf numFmtId="0" fontId="32" fillId="2" borderId="32" xfId="0" applyFont="1" applyFill="1" applyBorder="1" applyAlignment="1" applyProtection="1">
      <alignment horizontal="center" vertical="center"/>
      <protection hidden="1"/>
    </xf>
    <xf numFmtId="0" fontId="4" fillId="9" borderId="33" xfId="0" applyFont="1" applyFill="1" applyBorder="1" applyAlignment="1" applyProtection="1">
      <alignment horizontal="center" vertical="center"/>
      <protection hidden="1"/>
    </xf>
    <xf numFmtId="0" fontId="44" fillId="5" borderId="1" xfId="0" applyFont="1" applyFill="1" applyBorder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46" fillId="0" borderId="0" xfId="0" applyFont="1" applyAlignment="1" applyProtection="1">
      <alignment vertical="center" wrapText="1"/>
      <protection hidden="1"/>
    </xf>
    <xf numFmtId="0" fontId="16" fillId="0" borderId="0" xfId="0" applyFont="1"/>
    <xf numFmtId="1" fontId="4" fillId="0" borderId="34" xfId="0" applyNumberFormat="1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167" fontId="20" fillId="0" borderId="1" xfId="6" applyNumberFormat="1" applyFont="1" applyBorder="1" applyAlignment="1">
      <alignment horizontal="center"/>
    </xf>
    <xf numFmtId="3" fontId="20" fillId="0" borderId="1" xfId="7" applyNumberFormat="1" applyFont="1" applyBorder="1" applyAlignment="1">
      <alignment horizontal="right" vertical="center" wrapText="1" indent="1"/>
    </xf>
    <xf numFmtId="0" fontId="25" fillId="0" borderId="0" xfId="0" applyFont="1" applyAlignment="1" applyProtection="1">
      <alignment vertical="center"/>
      <protection hidden="1"/>
    </xf>
    <xf numFmtId="9" fontId="29" fillId="0" borderId="0" xfId="0" applyNumberFormat="1" applyFont="1" applyAlignment="1" applyProtection="1">
      <alignment horizontal="center" vertical="center"/>
      <protection hidden="1"/>
    </xf>
    <xf numFmtId="1" fontId="4" fillId="9" borderId="1" xfId="0" applyNumberFormat="1" applyFont="1" applyFill="1" applyBorder="1" applyAlignment="1" applyProtection="1">
      <alignment horizontal="center" vertical="center"/>
      <protection hidden="1"/>
    </xf>
    <xf numFmtId="0" fontId="48" fillId="0" borderId="0" xfId="0" applyFont="1"/>
    <xf numFmtId="165" fontId="48" fillId="0" borderId="0" xfId="0" applyNumberFormat="1" applyFont="1" applyAlignment="1">
      <alignment horizontal="left" vertical="center"/>
    </xf>
    <xf numFmtId="165" fontId="44" fillId="5" borderId="1" xfId="0" applyNumberFormat="1" applyFont="1" applyFill="1" applyBorder="1" applyAlignment="1">
      <alignment horizontal="center" vertical="center"/>
    </xf>
    <xf numFmtId="10" fontId="44" fillId="5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3" fillId="9" borderId="1" xfId="0" applyFont="1" applyFill="1" applyBorder="1" applyAlignment="1" applyProtection="1">
      <alignment horizontal="center" vertical="center" wrapText="1"/>
      <protection hidden="1"/>
    </xf>
    <xf numFmtId="169" fontId="10" fillId="5" borderId="1" xfId="0" applyNumberFormat="1" applyFont="1" applyFill="1" applyBorder="1" applyAlignment="1">
      <alignment horizontal="center" vertical="center" wrapText="1"/>
    </xf>
    <xf numFmtId="169" fontId="10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0" xfId="0" applyFill="1"/>
    <xf numFmtId="0" fontId="50" fillId="0" borderId="0" xfId="0" applyFont="1" applyAlignment="1">
      <alignment horizontal="right" vertical="top"/>
    </xf>
    <xf numFmtId="0" fontId="13" fillId="5" borderId="0" xfId="0" applyFont="1" applyFill="1" applyAlignment="1" applyProtection="1">
      <alignment horizontal="center" vertical="center"/>
      <protection hidden="1"/>
    </xf>
    <xf numFmtId="0" fontId="13" fillId="17" borderId="1" xfId="0" applyFont="1" applyFill="1" applyBorder="1" applyAlignment="1" applyProtection="1">
      <alignment vertical="center" wrapText="1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35" xfId="0" applyFont="1" applyBorder="1" applyAlignment="1" applyProtection="1">
      <alignment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4" fontId="13" fillId="5" borderId="5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vertical="top" wrapText="1"/>
    </xf>
    <xf numFmtId="0" fontId="10" fillId="0" borderId="4" xfId="0" applyFont="1" applyBorder="1" applyAlignment="1" applyProtection="1">
      <alignment vertical="center" wrapText="1"/>
      <protection hidden="1"/>
    </xf>
    <xf numFmtId="0" fontId="36" fillId="23" borderId="14" xfId="1" applyFont="1" applyFill="1" applyBorder="1" applyAlignment="1" applyProtection="1">
      <alignment horizontal="left" vertical="top"/>
      <protection hidden="1"/>
    </xf>
    <xf numFmtId="0" fontId="4" fillId="23" borderId="1" xfId="0" applyFont="1" applyFill="1" applyBorder="1" applyAlignment="1" applyProtection="1">
      <alignment horizontal="center" vertical="center"/>
      <protection hidden="1"/>
    </xf>
    <xf numFmtId="3" fontId="20" fillId="5" borderId="1" xfId="0" applyNumberFormat="1" applyFont="1" applyFill="1" applyBorder="1" applyAlignment="1">
      <alignment horizontal="center"/>
    </xf>
    <xf numFmtId="167" fontId="10" fillId="5" borderId="1" xfId="6" applyNumberFormat="1" applyFont="1" applyFill="1" applyBorder="1" applyAlignment="1">
      <alignment horizontal="center"/>
    </xf>
    <xf numFmtId="0" fontId="10" fillId="5" borderId="1" xfId="0" applyFont="1" applyFill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center" vertical="center"/>
      <protection hidden="1"/>
    </xf>
    <xf numFmtId="0" fontId="10" fillId="23" borderId="14" xfId="0" applyFont="1" applyFill="1" applyBorder="1" applyAlignment="1" applyProtection="1">
      <alignment horizontal="center"/>
      <protection hidden="1"/>
    </xf>
    <xf numFmtId="0" fontId="36" fillId="0" borderId="15" xfId="1" applyFont="1" applyBorder="1" applyAlignment="1" applyProtection="1">
      <alignment horizontal="left" vertical="top"/>
      <protection hidden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0" fontId="51" fillId="0" borderId="0" xfId="0" applyFont="1" applyAlignment="1" applyProtection="1">
      <alignment vertical="center" wrapText="1"/>
      <protection hidden="1"/>
    </xf>
    <xf numFmtId="0" fontId="15" fillId="0" borderId="1" xfId="0" applyFont="1" applyBorder="1" applyAlignment="1">
      <alignment horizontal="center" vertical="center"/>
    </xf>
    <xf numFmtId="0" fontId="35" fillId="2" borderId="11" xfId="0" applyFont="1" applyFill="1" applyBorder="1" applyAlignment="1">
      <alignment vertical="center"/>
    </xf>
    <xf numFmtId="0" fontId="35" fillId="2" borderId="13" xfId="0" applyFont="1" applyFill="1" applyBorder="1" applyAlignment="1">
      <alignment vertical="center"/>
    </xf>
    <xf numFmtId="0" fontId="35" fillId="9" borderId="11" xfId="0" applyFont="1" applyFill="1" applyBorder="1" applyAlignment="1">
      <alignment vertical="center"/>
    </xf>
    <xf numFmtId="0" fontId="35" fillId="9" borderId="13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5" fillId="9" borderId="36" xfId="0" applyFont="1" applyFill="1" applyBorder="1" applyAlignment="1" applyProtection="1">
      <alignment horizontal="center" vertical="center"/>
      <protection hidden="1"/>
    </xf>
    <xf numFmtId="166" fontId="15" fillId="9" borderId="36" xfId="0" applyNumberFormat="1" applyFont="1" applyFill="1" applyBorder="1" applyAlignment="1" applyProtection="1">
      <alignment horizontal="center" vertical="center"/>
      <protection hidden="1"/>
    </xf>
    <xf numFmtId="0" fontId="14" fillId="0" borderId="36" xfId="0" applyFont="1" applyBorder="1" applyAlignment="1">
      <alignment vertical="center"/>
    </xf>
    <xf numFmtId="0" fontId="0" fillId="0" borderId="16" xfId="0" applyBorder="1" applyAlignment="1" applyProtection="1">
      <alignment horizontal="center" vertical="center"/>
      <protection hidden="1"/>
    </xf>
    <xf numFmtId="3" fontId="20" fillId="5" borderId="1" xfId="0" applyNumberFormat="1" applyFont="1" applyFill="1" applyBorder="1" applyAlignment="1">
      <alignment horizontal="center" vertical="center"/>
    </xf>
    <xf numFmtId="170" fontId="13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170" fontId="17" fillId="0" borderId="0" xfId="0" applyNumberFormat="1" applyFont="1" applyAlignment="1" applyProtection="1">
      <alignment horizontal="center" vertical="center"/>
      <protection hidden="1"/>
    </xf>
    <xf numFmtId="0" fontId="10" fillId="0" borderId="0" xfId="0" quotePrefix="1" applyFont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3" fillId="14" borderId="10" xfId="0" applyFont="1" applyFill="1" applyBorder="1" applyAlignment="1" applyProtection="1">
      <alignment horizontal="center" vertical="center"/>
      <protection hidden="1"/>
    </xf>
    <xf numFmtId="0" fontId="13" fillId="14" borderId="14" xfId="0" applyFont="1" applyFill="1" applyBorder="1" applyAlignment="1" applyProtection="1">
      <alignment horizontal="center" vertical="center"/>
      <protection hidden="1"/>
    </xf>
    <xf numFmtId="0" fontId="13" fillId="14" borderId="15" xfId="0" applyFont="1" applyFill="1" applyBorder="1" applyAlignment="1" applyProtection="1">
      <alignment horizontal="center" vertical="center"/>
      <protection hidden="1"/>
    </xf>
    <xf numFmtId="0" fontId="24" fillId="13" borderId="10" xfId="0" applyFont="1" applyFill="1" applyBorder="1" applyAlignment="1" applyProtection="1">
      <alignment horizontal="center" vertical="center"/>
      <protection hidden="1"/>
    </xf>
    <xf numFmtId="0" fontId="24" fillId="13" borderId="14" xfId="0" applyFont="1" applyFill="1" applyBorder="1" applyAlignment="1" applyProtection="1">
      <alignment horizontal="center" vertical="center"/>
      <protection hidden="1"/>
    </xf>
    <xf numFmtId="0" fontId="24" fillId="13" borderId="15" xfId="0" applyFont="1" applyFill="1" applyBorder="1" applyAlignment="1" applyProtection="1">
      <alignment horizontal="center" vertical="center"/>
      <protection hidden="1"/>
    </xf>
    <xf numFmtId="0" fontId="13" fillId="9" borderId="2" xfId="0" applyFont="1" applyFill="1" applyBorder="1" applyAlignment="1" applyProtection="1">
      <alignment horizontal="center" vertical="center" wrapText="1"/>
      <protection hidden="1"/>
    </xf>
    <xf numFmtId="0" fontId="13" fillId="9" borderId="6" xfId="0" applyFont="1" applyFill="1" applyBorder="1" applyAlignment="1" applyProtection="1">
      <alignment horizontal="center" vertical="center" wrapText="1"/>
      <protection hidden="1"/>
    </xf>
    <xf numFmtId="0" fontId="13" fillId="9" borderId="3" xfId="0" applyFont="1" applyFill="1" applyBorder="1" applyAlignment="1" applyProtection="1">
      <alignment horizontal="center" vertical="center" wrapText="1"/>
      <protection hidden="1"/>
    </xf>
    <xf numFmtId="0" fontId="13" fillId="9" borderId="7" xfId="0" applyFont="1" applyFill="1" applyBorder="1" applyAlignment="1" applyProtection="1">
      <alignment horizontal="center" vertical="center" wrapText="1"/>
      <protection hidden="1"/>
    </xf>
    <xf numFmtId="0" fontId="13" fillId="9" borderId="8" xfId="0" applyFont="1" applyFill="1" applyBorder="1" applyAlignment="1" applyProtection="1">
      <alignment horizontal="center" vertical="center" wrapText="1"/>
      <protection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24" fillId="5" borderId="0" xfId="0" applyFont="1" applyFill="1" applyAlignment="1">
      <alignment horizontal="center" vertical="top" wrapText="1"/>
    </xf>
    <xf numFmtId="0" fontId="13" fillId="16" borderId="14" xfId="0" applyFont="1" applyFill="1" applyBorder="1" applyAlignment="1" applyProtection="1">
      <alignment horizontal="center" vertical="center" wrapText="1"/>
      <protection hidden="1"/>
    </xf>
    <xf numFmtId="0" fontId="13" fillId="16" borderId="15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3" fillId="16" borderId="10" xfId="0" applyFont="1" applyFill="1" applyBorder="1" applyAlignment="1" applyProtection="1">
      <alignment horizontal="center" vertical="center" wrapText="1"/>
      <protection hidden="1"/>
    </xf>
    <xf numFmtId="0" fontId="13" fillId="19" borderId="10" xfId="0" applyFont="1" applyFill="1" applyBorder="1" applyAlignment="1" applyProtection="1">
      <alignment horizontal="center" vertical="center"/>
      <protection hidden="1"/>
    </xf>
    <xf numFmtId="0" fontId="13" fillId="19" borderId="14" xfId="0" applyFont="1" applyFill="1" applyBorder="1" applyAlignment="1" applyProtection="1">
      <alignment horizontal="center" vertical="center"/>
      <protection hidden="1"/>
    </xf>
    <xf numFmtId="0" fontId="13" fillId="19" borderId="15" xfId="0" applyFont="1" applyFill="1" applyBorder="1" applyAlignment="1" applyProtection="1">
      <alignment horizontal="center" vertical="center"/>
      <protection hidden="1"/>
    </xf>
    <xf numFmtId="0" fontId="13" fillId="15" borderId="10" xfId="0" applyFont="1" applyFill="1" applyBorder="1" applyAlignment="1" applyProtection="1">
      <alignment horizontal="center" vertical="center"/>
      <protection hidden="1"/>
    </xf>
    <xf numFmtId="0" fontId="13" fillId="15" borderId="14" xfId="0" applyFont="1" applyFill="1" applyBorder="1" applyAlignment="1" applyProtection="1">
      <alignment horizontal="center" vertical="center"/>
      <protection hidden="1"/>
    </xf>
    <xf numFmtId="0" fontId="13" fillId="15" borderId="15" xfId="0" applyFont="1" applyFill="1" applyBorder="1" applyAlignment="1" applyProtection="1">
      <alignment horizontal="center" vertical="center"/>
      <protection hidden="1"/>
    </xf>
    <xf numFmtId="0" fontId="24" fillId="16" borderId="10" xfId="0" applyFont="1" applyFill="1" applyBorder="1" applyAlignment="1" applyProtection="1">
      <alignment horizontal="center" vertical="center" wrapText="1"/>
      <protection hidden="1"/>
    </xf>
    <xf numFmtId="0" fontId="24" fillId="16" borderId="14" xfId="0" applyFont="1" applyFill="1" applyBorder="1" applyAlignment="1" applyProtection="1">
      <alignment horizontal="center" vertical="center" wrapText="1"/>
      <protection hidden="1"/>
    </xf>
    <xf numFmtId="0" fontId="24" fillId="16" borderId="15" xfId="0" applyFont="1" applyFill="1" applyBorder="1" applyAlignment="1" applyProtection="1">
      <alignment horizontal="center" vertical="center" wrapText="1"/>
      <protection hidden="1"/>
    </xf>
    <xf numFmtId="0" fontId="24" fillId="13" borderId="10" xfId="0" applyFont="1" applyFill="1" applyBorder="1" applyAlignment="1" applyProtection="1">
      <alignment horizontal="center" vertical="center" wrapText="1"/>
      <protection hidden="1"/>
    </xf>
    <xf numFmtId="0" fontId="24" fillId="13" borderId="14" xfId="0" applyFont="1" applyFill="1" applyBorder="1" applyAlignment="1" applyProtection="1">
      <alignment horizontal="center" vertical="center" wrapText="1"/>
      <protection hidden="1"/>
    </xf>
    <xf numFmtId="0" fontId="24" fillId="13" borderId="15" xfId="0" applyFont="1" applyFill="1" applyBorder="1" applyAlignment="1" applyProtection="1">
      <alignment horizontal="center" vertical="center" wrapText="1"/>
      <protection hidden="1"/>
    </xf>
    <xf numFmtId="0" fontId="13" fillId="15" borderId="2" xfId="0" applyFont="1" applyFill="1" applyBorder="1" applyAlignment="1" applyProtection="1">
      <alignment horizontal="center" vertical="center"/>
      <protection hidden="1"/>
    </xf>
    <xf numFmtId="0" fontId="13" fillId="15" borderId="4" xfId="0" applyFont="1" applyFill="1" applyBorder="1" applyAlignment="1" applyProtection="1">
      <alignment horizontal="center" vertical="center"/>
      <protection hidden="1"/>
    </xf>
    <xf numFmtId="0" fontId="13" fillId="15" borderId="7" xfId="0" applyFont="1" applyFill="1" applyBorder="1" applyAlignment="1" applyProtection="1">
      <alignment horizontal="center" vertical="center"/>
      <protection hidden="1"/>
    </xf>
    <xf numFmtId="0" fontId="24" fillId="13" borderId="1" xfId="0" applyFont="1" applyFill="1" applyBorder="1" applyAlignment="1" applyProtection="1">
      <alignment horizontal="center" vertical="center"/>
      <protection hidden="1"/>
    </xf>
    <xf numFmtId="0" fontId="24" fillId="13" borderId="11" xfId="0" applyFont="1" applyFill="1" applyBorder="1" applyAlignment="1" applyProtection="1">
      <alignment horizontal="center" vertical="center"/>
      <protection hidden="1"/>
    </xf>
    <xf numFmtId="0" fontId="13" fillId="16" borderId="10" xfId="0" applyFont="1" applyFill="1" applyBorder="1" applyAlignment="1" applyProtection="1">
      <alignment horizontal="center" vertical="center"/>
      <protection hidden="1"/>
    </xf>
    <xf numFmtId="0" fontId="13" fillId="16" borderId="14" xfId="0" applyFont="1" applyFill="1" applyBorder="1" applyAlignment="1" applyProtection="1">
      <alignment horizontal="center" vertical="center"/>
      <protection hidden="1"/>
    </xf>
    <xf numFmtId="0" fontId="13" fillId="16" borderId="15" xfId="0" applyFont="1" applyFill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 wrapText="1"/>
      <protection hidden="1"/>
    </xf>
    <xf numFmtId="0" fontId="13" fillId="15" borderId="10" xfId="0" applyFont="1" applyFill="1" applyBorder="1" applyAlignment="1" applyProtection="1">
      <alignment horizontal="center" vertical="center" wrapText="1"/>
      <protection hidden="1"/>
    </xf>
    <xf numFmtId="0" fontId="13" fillId="15" borderId="15" xfId="0" applyFont="1" applyFill="1" applyBorder="1" applyAlignment="1" applyProtection="1">
      <alignment horizontal="center" vertical="center" wrapText="1"/>
      <protection hidden="1"/>
    </xf>
    <xf numFmtId="0" fontId="13" fillId="16" borderId="1" xfId="0" applyFont="1" applyFill="1" applyBorder="1" applyAlignment="1" applyProtection="1">
      <alignment horizontal="center" vertical="center"/>
      <protection hidden="1"/>
    </xf>
    <xf numFmtId="0" fontId="13" fillId="15" borderId="1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left" vertical="center" wrapText="1"/>
      <protection hidden="1"/>
    </xf>
    <xf numFmtId="0" fontId="13" fillId="9" borderId="11" xfId="0" applyFont="1" applyFill="1" applyBorder="1" applyAlignment="1" applyProtection="1">
      <alignment horizontal="center" vertical="center" wrapText="1"/>
      <protection hidden="1"/>
    </xf>
    <xf numFmtId="0" fontId="13" fillId="9" borderId="12" xfId="0" applyFont="1" applyFill="1" applyBorder="1" applyAlignment="1" applyProtection="1">
      <alignment horizontal="center" vertical="center" wrapText="1"/>
      <protection hidden="1"/>
    </xf>
    <xf numFmtId="0" fontId="13" fillId="9" borderId="1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5" fillId="0" borderId="1" xfId="0" applyFont="1" applyBorder="1" applyAlignment="1">
      <alignment horizontal="center" vertical="center"/>
    </xf>
    <xf numFmtId="0" fontId="13" fillId="9" borderId="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wrapText="1"/>
    </xf>
    <xf numFmtId="0" fontId="19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7" fillId="9" borderId="1" xfId="0" applyFont="1" applyFill="1" applyBorder="1" applyAlignment="1" applyProtection="1">
      <alignment horizontal="center" vertical="center" wrapText="1"/>
      <protection hidden="1"/>
    </xf>
    <xf numFmtId="0" fontId="30" fillId="9" borderId="11" xfId="0" applyFont="1" applyFill="1" applyBorder="1" applyAlignment="1" applyProtection="1">
      <alignment horizontal="left" vertical="center" wrapText="1"/>
      <protection hidden="1"/>
    </xf>
    <xf numFmtId="0" fontId="30" fillId="9" borderId="12" xfId="0" applyFont="1" applyFill="1" applyBorder="1" applyAlignment="1" applyProtection="1">
      <alignment horizontal="left" vertical="center"/>
      <protection hidden="1"/>
    </xf>
    <xf numFmtId="0" fontId="30" fillId="9" borderId="13" xfId="0" applyFont="1" applyFill="1" applyBorder="1" applyAlignment="1" applyProtection="1">
      <alignment horizontal="left" vertical="center"/>
      <protection hidden="1"/>
    </xf>
    <xf numFmtId="0" fontId="22" fillId="10" borderId="11" xfId="0" applyFont="1" applyFill="1" applyBorder="1" applyAlignment="1" applyProtection="1">
      <alignment horizontal="center" vertical="center" wrapText="1"/>
      <protection locked="0" hidden="1"/>
    </xf>
    <xf numFmtId="0" fontId="22" fillId="10" borderId="13" xfId="0" applyFont="1" applyFill="1" applyBorder="1" applyAlignment="1" applyProtection="1">
      <alignment horizontal="center" vertical="center" wrapText="1"/>
      <protection locked="0" hidden="1"/>
    </xf>
    <xf numFmtId="0" fontId="30" fillId="5" borderId="8" xfId="0" applyFont="1" applyFill="1" applyBorder="1" applyAlignment="1" applyProtection="1">
      <alignment horizontal="center" vertical="center" wrapText="1"/>
      <protection hidden="1"/>
    </xf>
    <xf numFmtId="0" fontId="19" fillId="3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/>
    </xf>
    <xf numFmtId="0" fontId="18" fillId="5" borderId="0" xfId="0" applyFont="1" applyFill="1" applyAlignment="1">
      <alignment horizontal="center" vertical="center" wrapText="1"/>
    </xf>
    <xf numFmtId="0" fontId="10" fillId="14" borderId="4" xfId="0" applyFont="1" applyFill="1" applyBorder="1" applyAlignment="1" applyProtection="1">
      <alignment horizontal="center" wrapText="1"/>
      <protection hidden="1"/>
    </xf>
    <xf numFmtId="0" fontId="10" fillId="14" borderId="0" xfId="0" applyFont="1" applyFill="1" applyAlignment="1" applyProtection="1">
      <alignment horizontal="center" wrapText="1"/>
      <protection hidden="1"/>
    </xf>
    <xf numFmtId="0" fontId="10" fillId="14" borderId="5" xfId="0" applyFont="1" applyFill="1" applyBorder="1" applyAlignment="1" applyProtection="1">
      <alignment horizontal="center" wrapText="1"/>
      <protection hidden="1"/>
    </xf>
    <xf numFmtId="0" fontId="10" fillId="14" borderId="20" xfId="0" applyFont="1" applyFill="1" applyBorder="1" applyAlignment="1" applyProtection="1">
      <alignment horizontal="center" vertical="center" wrapText="1"/>
      <protection hidden="1"/>
    </xf>
    <xf numFmtId="0" fontId="10" fillId="14" borderId="23" xfId="0" applyFont="1" applyFill="1" applyBorder="1" applyAlignment="1" applyProtection="1">
      <alignment horizontal="center" vertical="center" wrapText="1"/>
      <protection hidden="1"/>
    </xf>
    <xf numFmtId="0" fontId="10" fillId="14" borderId="22" xfId="0" applyFont="1" applyFill="1" applyBorder="1" applyAlignment="1" applyProtection="1">
      <alignment horizontal="center" vertical="center" wrapText="1"/>
      <protection hidden="1"/>
    </xf>
    <xf numFmtId="0" fontId="19" fillId="22" borderId="0" xfId="0" applyFont="1" applyFill="1" applyAlignment="1" applyProtection="1">
      <alignment horizontal="left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22" xfId="0" applyFont="1" applyFill="1" applyBorder="1" applyAlignment="1" applyProtection="1">
      <alignment horizontal="center" vertical="center" wrapText="1"/>
      <protection hidden="1"/>
    </xf>
    <xf numFmtId="0" fontId="10" fillId="9" borderId="4" xfId="0" applyFont="1" applyFill="1" applyBorder="1" applyAlignment="1" applyProtection="1">
      <alignment horizontal="center" wrapText="1"/>
      <protection hidden="1"/>
    </xf>
    <xf numFmtId="0" fontId="10" fillId="9" borderId="5" xfId="0" applyFont="1" applyFill="1" applyBorder="1" applyAlignment="1" applyProtection="1">
      <alignment horizontal="center" wrapText="1"/>
      <protection hidden="1"/>
    </xf>
    <xf numFmtId="0" fontId="10" fillId="19" borderId="20" xfId="0" applyFont="1" applyFill="1" applyBorder="1" applyAlignment="1" applyProtection="1">
      <alignment horizontal="left" vertical="center" wrapText="1"/>
      <protection hidden="1"/>
    </xf>
    <xf numFmtId="0" fontId="10" fillId="19" borderId="23" xfId="0" applyFont="1" applyFill="1" applyBorder="1" applyAlignment="1" applyProtection="1">
      <alignment horizontal="left" vertical="center" wrapText="1"/>
      <protection hidden="1"/>
    </xf>
    <xf numFmtId="0" fontId="10" fillId="19" borderId="22" xfId="0" applyFont="1" applyFill="1" applyBorder="1" applyAlignment="1" applyProtection="1">
      <alignment horizontal="left" vertical="center" wrapText="1"/>
      <protection hidden="1"/>
    </xf>
    <xf numFmtId="0" fontId="10" fillId="19" borderId="20" xfId="0" applyFont="1" applyFill="1" applyBorder="1" applyAlignment="1" applyProtection="1">
      <alignment horizontal="center" vertical="center" wrapText="1"/>
      <protection hidden="1"/>
    </xf>
    <xf numFmtId="0" fontId="10" fillId="19" borderId="23" xfId="0" applyFont="1" applyFill="1" applyBorder="1" applyAlignment="1" applyProtection="1">
      <alignment horizontal="center" vertical="center" wrapText="1"/>
      <protection hidden="1"/>
    </xf>
    <xf numFmtId="0" fontId="10" fillId="19" borderId="22" xfId="0" applyFont="1" applyFill="1" applyBorder="1" applyAlignment="1" applyProtection="1">
      <alignment horizontal="center" vertical="center" wrapText="1"/>
      <protection hidden="1"/>
    </xf>
    <xf numFmtId="0" fontId="10" fillId="19" borderId="4" xfId="0" applyFont="1" applyFill="1" applyBorder="1" applyAlignment="1" applyProtection="1">
      <alignment horizontal="center" wrapText="1"/>
      <protection hidden="1"/>
    </xf>
    <xf numFmtId="0" fontId="10" fillId="19" borderId="0" xfId="0" applyFont="1" applyFill="1" applyAlignment="1" applyProtection="1">
      <alignment horizontal="center" wrapText="1"/>
      <protection hidden="1"/>
    </xf>
    <xf numFmtId="0" fontId="10" fillId="19" borderId="5" xfId="0" applyFont="1" applyFill="1" applyBorder="1" applyAlignment="1" applyProtection="1">
      <alignment horizontal="center" wrapText="1"/>
      <protection hidden="1"/>
    </xf>
    <xf numFmtId="0" fontId="10" fillId="19" borderId="4" xfId="0" applyFont="1" applyFill="1" applyBorder="1" applyAlignment="1" applyProtection="1">
      <alignment horizontal="left" wrapText="1"/>
      <protection hidden="1"/>
    </xf>
    <xf numFmtId="0" fontId="10" fillId="19" borderId="0" xfId="0" applyFont="1" applyFill="1" applyAlignment="1" applyProtection="1">
      <alignment horizontal="left" wrapText="1"/>
      <protection hidden="1"/>
    </xf>
    <xf numFmtId="0" fontId="10" fillId="19" borderId="5" xfId="0" applyFont="1" applyFill="1" applyBorder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9" borderId="26" xfId="0" applyFont="1" applyFill="1" applyBorder="1" applyAlignment="1" applyProtection="1">
      <alignment horizontal="center" vertical="center" wrapText="1"/>
      <protection hidden="1"/>
    </xf>
    <xf numFmtId="0" fontId="4" fillId="9" borderId="14" xfId="0" applyFont="1" applyFill="1" applyBorder="1" applyAlignment="1" applyProtection="1">
      <alignment horizontal="center" vertical="center" wrapText="1"/>
      <protection hidden="1"/>
    </xf>
    <xf numFmtId="0" fontId="4" fillId="9" borderId="3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</cellXfs>
  <cellStyles count="12">
    <cellStyle name="Comma" xfId="6" builtinId="3"/>
    <cellStyle name="Comma 2" xfId="11" xr:uid="{81E70E8E-BCCB-47E9-9A80-7E51D4906DDA}"/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  <cellStyle name="Normal 4" xfId="4" xr:uid="{00000000-0005-0000-0000-000005000000}"/>
    <cellStyle name="Normal 4 2" xfId="9" xr:uid="{A89A043A-6DB4-4B21-8433-55A511D11CD2}"/>
    <cellStyle name="Normal 5" xfId="8" xr:uid="{E385C719-241B-4F34-B399-5C86EF1567DC}"/>
    <cellStyle name="Normal 6" xfId="7" xr:uid="{00000000-0005-0000-0000-000036000000}"/>
    <cellStyle name="Percent" xfId="5" builtinId="5"/>
    <cellStyle name="Percent 2" xfId="10" xr:uid="{29201D09-EA55-4F06-BE50-8E8EBE8A7013}"/>
  </cellStyles>
  <dxfs count="8">
    <dxf>
      <font>
        <b/>
        <i val="0"/>
      </font>
      <fill>
        <patternFill>
          <bgColor rgb="FFFFC000"/>
        </patternFill>
      </fill>
    </dxf>
    <dxf>
      <numFmt numFmtId="0" formatCode="General"/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rgb="FFFFC000"/>
        </patternFill>
      </fill>
      <border>
        <left/>
        <right/>
        <top/>
        <bottom/>
        <vertical/>
        <horizontal/>
      </border>
    </dxf>
    <dxf>
      <fill>
        <patternFill>
          <bgColor rgb="FFFFC000"/>
        </patternFill>
      </fill>
    </dxf>
    <dxf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CE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A8DA-8E43-4150-AC47-31D2A71252C1}">
  <sheetPr>
    <pageSetUpPr fitToPage="1"/>
  </sheetPr>
  <dimension ref="A1:V63"/>
  <sheetViews>
    <sheetView showGridLines="0" tabSelected="1" zoomScale="70" zoomScaleNormal="70" zoomScaleSheetLayoutView="100" workbookViewId="0">
      <pane ySplit="4" topLeftCell="A21" activePane="bottomLeft" state="frozen"/>
      <selection activeCell="D24" sqref="D24"/>
      <selection pane="bottomLeft" activeCell="K34" sqref="K34"/>
    </sheetView>
  </sheetViews>
  <sheetFormatPr defaultColWidth="9.140625" defaultRowHeight="14.25" x14ac:dyDescent="0.25"/>
  <cols>
    <col min="1" max="1" width="1.7109375" style="29" customWidth="1"/>
    <col min="2" max="2" width="10.140625" style="30" customWidth="1"/>
    <col min="3" max="4" width="9.7109375" style="29" customWidth="1"/>
    <col min="5" max="5" width="10" style="29" bestFit="1" customWidth="1"/>
    <col min="6" max="8" width="9.7109375" style="29" customWidth="1"/>
    <col min="9" max="9" width="18.42578125" style="29" bestFit="1" customWidth="1"/>
    <col min="10" max="10" width="9.140625" style="29" customWidth="1"/>
    <col min="11" max="11" width="23.5703125" style="29" customWidth="1"/>
    <col min="12" max="12" width="22.42578125" style="29" customWidth="1"/>
    <col min="13" max="13" width="18.42578125" style="29" bestFit="1" customWidth="1"/>
    <col min="14" max="14" width="12" style="29" customWidth="1"/>
    <col min="15" max="15" width="7.85546875" style="29" bestFit="1" customWidth="1"/>
    <col min="16" max="17" width="7.140625" style="67" customWidth="1"/>
    <col min="18" max="18" width="5.7109375" style="29" customWidth="1"/>
    <col min="19" max="19" width="9.140625" style="29" customWidth="1"/>
    <col min="20" max="20" width="9.140625" style="29"/>
    <col min="21" max="21" width="67.28515625" style="29" customWidth="1"/>
    <col min="22" max="16384" width="9.140625" style="29"/>
  </cols>
  <sheetData>
    <row r="1" spans="1:22" x14ac:dyDescent="0.25">
      <c r="A1" s="260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2"/>
    </row>
    <row r="2" spans="1:22" x14ac:dyDescent="0.25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5"/>
    </row>
    <row r="3" spans="1:22" ht="1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65"/>
      <c r="Q3" s="65"/>
      <c r="R3" s="37"/>
      <c r="S3" s="37"/>
    </row>
    <row r="4" spans="1:22" ht="84.75" customHeight="1" x14ac:dyDescent="0.25">
      <c r="A4" s="266" t="s">
        <v>1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U4" s="236"/>
    </row>
    <row r="5" spans="1:22" ht="15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66"/>
      <c r="Q5" s="66"/>
      <c r="R5" s="49"/>
      <c r="S5" s="49"/>
    </row>
    <row r="6" spans="1:22" ht="18" customHeight="1" x14ac:dyDescent="0.25">
      <c r="A6" s="270" t="s">
        <v>2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</row>
    <row r="7" spans="1:22" ht="15" x14ac:dyDescent="0.25">
      <c r="A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2" ht="59.25" customHeight="1" x14ac:dyDescent="0.25">
      <c r="C8" s="30"/>
      <c r="D8" s="210"/>
      <c r="E8" s="271" t="s">
        <v>277</v>
      </c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9"/>
      <c r="Q8" s="29"/>
    </row>
    <row r="9" spans="1:22" x14ac:dyDescent="0.25">
      <c r="D9" s="210"/>
      <c r="E9" s="210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</row>
    <row r="10" spans="1:22" ht="106.5" customHeight="1" x14ac:dyDescent="0.25">
      <c r="D10" s="216"/>
      <c r="E10" s="267" t="s">
        <v>288</v>
      </c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23"/>
      <c r="R10" s="223"/>
      <c r="S10" s="223"/>
    </row>
    <row r="12" spans="1:22" s="38" customFormat="1" ht="30" customHeight="1" x14ac:dyDescent="0.25">
      <c r="J12" s="77" t="s">
        <v>3</v>
      </c>
      <c r="K12" s="77" t="s">
        <v>4</v>
      </c>
      <c r="L12" s="77" t="s">
        <v>4</v>
      </c>
    </row>
    <row r="13" spans="1:22" s="38" customFormat="1" ht="49.5" customHeight="1" x14ac:dyDescent="0.25">
      <c r="J13" s="76"/>
      <c r="K13" s="253" t="s">
        <v>286</v>
      </c>
      <c r="L13" s="253" t="s">
        <v>287</v>
      </c>
    </row>
    <row r="14" spans="1:22" ht="24" customHeight="1" x14ac:dyDescent="0.25">
      <c r="F14" s="294" t="s">
        <v>5</v>
      </c>
      <c r="G14" s="43"/>
      <c r="H14" s="43"/>
      <c r="I14" s="40"/>
      <c r="J14" s="212">
        <v>10</v>
      </c>
      <c r="K14" s="249">
        <f>SUMIF('Points Lookup'!$D:$D,J14,'Points Lookup'!$E:$E)</f>
        <v>0</v>
      </c>
      <c r="L14" s="249">
        <f>SUMIF('Points Lookup'!$A:$A,J14,'Points Lookup'!$B:$B)</f>
        <v>20761</v>
      </c>
      <c r="M14" s="70"/>
      <c r="N14" s="40"/>
      <c r="O14" s="257" t="s">
        <v>6</v>
      </c>
      <c r="P14" s="276" t="s">
        <v>7</v>
      </c>
      <c r="Q14" s="273" t="s">
        <v>236</v>
      </c>
      <c r="R14" s="47"/>
      <c r="V14" s="252"/>
    </row>
    <row r="15" spans="1:22" ht="30" x14ac:dyDescent="0.25">
      <c r="F15" s="295"/>
      <c r="G15" s="45"/>
      <c r="H15" s="45"/>
      <c r="I15" s="42"/>
      <c r="J15" s="212">
        <v>11</v>
      </c>
      <c r="K15" s="249">
        <f>SUMIF('Points Lookup'!$D:$D,J15,'Points Lookup'!$E:$E)</f>
        <v>0</v>
      </c>
      <c r="L15" s="249">
        <f>SUMIF('Points Lookup'!$A:$A,J15,'Points Lookup'!$B:$B)</f>
        <v>21197</v>
      </c>
      <c r="M15" s="69" t="s">
        <v>8</v>
      </c>
      <c r="N15" s="41"/>
      <c r="O15" s="258"/>
      <c r="P15" s="277"/>
      <c r="Q15" s="274"/>
      <c r="R15" s="47"/>
    </row>
    <row r="16" spans="1:22" ht="24" customHeight="1" x14ac:dyDescent="0.25">
      <c r="I16" s="41"/>
      <c r="J16" s="212">
        <v>12</v>
      </c>
      <c r="K16" s="249">
        <f>SUMIF('Points Lookup'!$D:$D,J16,'Points Lookup'!$E:$E)</f>
        <v>0</v>
      </c>
      <c r="L16" s="249">
        <f>SUMIF('Points Lookup'!$A:$A,J16,'Points Lookup'!$B:$B)</f>
        <v>21630</v>
      </c>
      <c r="M16" s="45"/>
      <c r="N16" s="42"/>
      <c r="O16" s="259"/>
      <c r="P16" s="278"/>
      <c r="Q16" s="275"/>
      <c r="R16" s="47"/>
    </row>
    <row r="17" spans="2:19" ht="30" customHeight="1" x14ac:dyDescent="0.25">
      <c r="E17" s="273" t="s">
        <v>237</v>
      </c>
      <c r="F17" s="276" t="s">
        <v>9</v>
      </c>
      <c r="G17" s="257" t="s">
        <v>10</v>
      </c>
      <c r="H17" s="43"/>
      <c r="I17" s="40"/>
      <c r="J17" s="212">
        <v>13</v>
      </c>
      <c r="K17" s="249">
        <f>SUMIF('Points Lookup'!$D:$D,J17,'Points Lookup'!$E:$E)</f>
        <v>0</v>
      </c>
      <c r="L17" s="249">
        <f>SUMIF('Points Lookup'!$A:$A,J17,'Points Lookup'!$B:$B)</f>
        <v>22149</v>
      </c>
      <c r="M17" s="131" t="s">
        <v>240</v>
      </c>
      <c r="P17" s="29"/>
      <c r="Q17" s="29"/>
      <c r="R17" s="40"/>
      <c r="S17" s="254" t="s">
        <v>11</v>
      </c>
    </row>
    <row r="18" spans="2:19" ht="24" customHeight="1" x14ac:dyDescent="0.25">
      <c r="E18" s="274"/>
      <c r="F18" s="277"/>
      <c r="G18" s="258"/>
      <c r="I18" s="41"/>
      <c r="J18" s="212">
        <v>14</v>
      </c>
      <c r="K18" s="249">
        <f>SUMIF('Points Lookup'!$D:$D,J18,'Points Lookup'!$E:$E)</f>
        <v>0</v>
      </c>
      <c r="L18" s="249">
        <f>SUMIF('Points Lookup'!$A:$A,J18,'Points Lookup'!$B:$B)</f>
        <v>22662</v>
      </c>
      <c r="P18" s="29"/>
      <c r="Q18" s="29"/>
      <c r="S18" s="255"/>
    </row>
    <row r="19" spans="2:19" ht="24" customHeight="1" x14ac:dyDescent="0.25">
      <c r="E19" s="274"/>
      <c r="F19" s="277"/>
      <c r="G19" s="258"/>
      <c r="J19" s="212">
        <v>15</v>
      </c>
      <c r="K19" s="249">
        <f>SUMIF('Points Lookup'!$D:$D,J19,'Points Lookup'!$E:$E)</f>
        <v>0</v>
      </c>
      <c r="L19" s="249">
        <f>SUMIF('Points Lookup'!$A:$A,J19,'Points Lookup'!$B:$B)</f>
        <v>23144</v>
      </c>
      <c r="P19" s="29"/>
      <c r="Q19" s="29"/>
      <c r="S19" s="256"/>
    </row>
    <row r="20" spans="2:19" ht="24" customHeight="1" x14ac:dyDescent="0.25">
      <c r="E20" s="274"/>
      <c r="F20" s="277"/>
      <c r="G20" s="258"/>
      <c r="I20" s="41"/>
      <c r="J20" s="212">
        <v>16</v>
      </c>
      <c r="K20" s="249">
        <f>SUMIF('Points Lookup'!$D:$D,J20,'Points Lookup'!$E:$E)</f>
        <v>0</v>
      </c>
      <c r="L20" s="249">
        <f>SUMIF('Points Lookup'!$A:$A,J20,'Points Lookup'!$B:$B)</f>
        <v>23715</v>
      </c>
      <c r="M20" s="68"/>
      <c r="N20" s="43"/>
      <c r="O20" s="43"/>
      <c r="P20" s="43"/>
      <c r="Q20" s="43"/>
      <c r="R20" s="40"/>
      <c r="S20" s="254" t="s">
        <v>14</v>
      </c>
    </row>
    <row r="21" spans="2:19" ht="24" customHeight="1" x14ac:dyDescent="0.25">
      <c r="E21" s="274"/>
      <c r="F21" s="277"/>
      <c r="G21" s="258"/>
      <c r="I21" s="41"/>
      <c r="J21" s="212">
        <v>17</v>
      </c>
      <c r="K21" s="249">
        <f>SUMIF('Points Lookup'!$D:$D,J21,'Points Lookup'!$E:$E)</f>
        <v>0</v>
      </c>
      <c r="L21" s="249">
        <f>SUMIF('Points Lookup'!$A:$A,J21,'Points Lookup'!$B:$B)</f>
        <v>24285</v>
      </c>
      <c r="P21" s="29"/>
      <c r="Q21" s="29"/>
      <c r="S21" s="255"/>
    </row>
    <row r="22" spans="2:19" ht="30" customHeight="1" x14ac:dyDescent="0.25">
      <c r="E22" s="274"/>
      <c r="F22" s="277"/>
      <c r="G22" s="258"/>
      <c r="I22" s="64" t="s">
        <v>13</v>
      </c>
      <c r="J22" s="212">
        <v>18</v>
      </c>
      <c r="K22" s="249">
        <f>SUMIF('Points Lookup'!$D:$D,J22,'Points Lookup'!$E:$E)</f>
        <v>0</v>
      </c>
      <c r="L22" s="249">
        <f>SUMIF('Points Lookup'!$A:$A,J22,'Points Lookup'!$B:$B)</f>
        <v>24948</v>
      </c>
      <c r="R22" s="48"/>
      <c r="S22" s="255"/>
    </row>
    <row r="23" spans="2:19" ht="24" customHeight="1" x14ac:dyDescent="0.25">
      <c r="E23" s="274"/>
      <c r="F23" s="277"/>
      <c r="G23" s="258"/>
      <c r="I23" s="41"/>
      <c r="J23" s="212">
        <v>19</v>
      </c>
      <c r="K23" s="249">
        <f>SUMIF('Points Lookup'!$D:$D,J23,'Points Lookup'!$E:$E)</f>
        <v>0</v>
      </c>
      <c r="L23" s="249">
        <f>SUMIF('Points Lookup'!$A:$A,J23,'Points Lookup'!$B:$B)</f>
        <v>25642</v>
      </c>
      <c r="R23" s="48"/>
      <c r="S23" s="255"/>
    </row>
    <row r="24" spans="2:19" ht="30" customHeight="1" x14ac:dyDescent="0.25">
      <c r="E24" s="274"/>
      <c r="F24" s="277"/>
      <c r="G24" s="258"/>
      <c r="I24" s="41"/>
      <c r="J24" s="212">
        <v>20</v>
      </c>
      <c r="K24" s="249">
        <f>SUMIF('Points Lookup'!$D:$D,J24,'Points Lookup'!$E:$E)</f>
        <v>0</v>
      </c>
      <c r="L24" s="249">
        <f>SUMIF('Points Lookup'!$A:$A,J24,'Points Lookup'!$B:$B)</f>
        <v>26396</v>
      </c>
      <c r="M24" s="131" t="s">
        <v>239</v>
      </c>
      <c r="N24" s="40"/>
      <c r="O24" s="257" t="s">
        <v>15</v>
      </c>
      <c r="P24" s="276" t="s">
        <v>16</v>
      </c>
      <c r="Q24" s="273" t="s">
        <v>238</v>
      </c>
      <c r="R24" s="48"/>
      <c r="S24" s="255"/>
    </row>
    <row r="25" spans="2:19" ht="24" customHeight="1" x14ac:dyDescent="0.25">
      <c r="E25" s="275"/>
      <c r="F25" s="278"/>
      <c r="G25" s="259"/>
      <c r="H25" s="45"/>
      <c r="I25" s="42"/>
      <c r="J25" s="212">
        <v>21</v>
      </c>
      <c r="K25" s="249">
        <f>SUMIF('Points Lookup'!$D:$D,J25,'Points Lookup'!$E:$E)</f>
        <v>0</v>
      </c>
      <c r="L25" s="249">
        <f>SUMIF('Points Lookup'!$A:$A,J25,'Points Lookup'!$B:$B)</f>
        <v>27131</v>
      </c>
      <c r="N25" s="41"/>
      <c r="O25" s="258"/>
      <c r="P25" s="277"/>
      <c r="Q25" s="274"/>
      <c r="R25" s="48"/>
      <c r="S25" s="255"/>
    </row>
    <row r="26" spans="2:19" ht="24" customHeight="1" x14ac:dyDescent="0.25">
      <c r="J26" s="212">
        <v>22</v>
      </c>
      <c r="K26" s="249">
        <f>SUMIF('Points Lookup'!$D:$D,J26,'Points Lookup'!$E:$E)</f>
        <v>0</v>
      </c>
      <c r="L26" s="249">
        <f>SUMIF('Points Lookup'!$A:$A,J26,'Points Lookup'!$B:$B)</f>
        <v>27929</v>
      </c>
      <c r="M26" s="74"/>
      <c r="N26" s="73"/>
      <c r="O26" s="258"/>
      <c r="P26" s="277"/>
      <c r="Q26" s="274"/>
      <c r="R26" s="72"/>
      <c r="S26" s="256"/>
    </row>
    <row r="27" spans="2:19" ht="24" customHeight="1" x14ac:dyDescent="0.25">
      <c r="B27" s="272" t="s">
        <v>233</v>
      </c>
      <c r="C27" s="279" t="s">
        <v>18</v>
      </c>
      <c r="D27" s="282" t="s">
        <v>17</v>
      </c>
      <c r="E27" s="68"/>
      <c r="F27" s="43"/>
      <c r="G27" s="43"/>
      <c r="H27" s="43"/>
      <c r="I27" s="40"/>
      <c r="J27" s="212">
        <v>23</v>
      </c>
      <c r="K27" s="249">
        <f>SUMIF('Points Lookup'!$D:$D,J27,'Points Lookup'!$E:$E)</f>
        <v>29762</v>
      </c>
      <c r="L27" s="249">
        <f>SUMIF('Points Lookup'!$A:$A,J27,'Points Lookup'!$B:$B)</f>
        <v>28762</v>
      </c>
      <c r="M27" s="71"/>
      <c r="N27" s="41"/>
      <c r="O27" s="258"/>
      <c r="P27" s="277"/>
      <c r="Q27" s="274"/>
      <c r="R27" s="48"/>
    </row>
    <row r="28" spans="2:19" ht="24" customHeight="1" x14ac:dyDescent="0.25">
      <c r="B28" s="268"/>
      <c r="C28" s="280"/>
      <c r="D28" s="283"/>
      <c r="J28" s="212">
        <v>24</v>
      </c>
      <c r="K28" s="249">
        <f>SUMIF('Points Lookup'!$D:$D,J28,'Points Lookup'!$E:$E)</f>
        <v>30619</v>
      </c>
      <c r="L28" s="249">
        <f>SUMIF('Points Lookup'!$A:$A,J28,'Points Lookup'!$B:$B)</f>
        <v>29619</v>
      </c>
      <c r="N28" s="41"/>
      <c r="O28" s="258"/>
      <c r="P28" s="277"/>
      <c r="Q28" s="274"/>
      <c r="R28" s="48"/>
    </row>
    <row r="29" spans="2:19" ht="24" customHeight="1" x14ac:dyDescent="0.25">
      <c r="B29" s="268"/>
      <c r="C29" s="280"/>
      <c r="D29" s="283"/>
      <c r="E29" s="44" t="s">
        <v>234</v>
      </c>
      <c r="J29" s="212">
        <v>25</v>
      </c>
      <c r="K29" s="249">
        <f>SUMIF('Points Lookup'!$D:$D,J29,'Points Lookup'!$E:$E)</f>
        <v>31502</v>
      </c>
      <c r="L29" s="249">
        <f>SUMIF('Points Lookup'!$A:$A,J29,'Points Lookup'!$B:$B)</f>
        <v>30502</v>
      </c>
      <c r="N29" s="41"/>
      <c r="O29" s="258"/>
      <c r="P29" s="277"/>
      <c r="Q29" s="274"/>
      <c r="R29" s="48"/>
    </row>
    <row r="30" spans="2:19" ht="24" customHeight="1" x14ac:dyDescent="0.25">
      <c r="B30" s="268"/>
      <c r="C30" s="280"/>
      <c r="D30" s="283"/>
      <c r="J30" s="212">
        <v>26</v>
      </c>
      <c r="K30" s="249">
        <f>SUMIF('Points Lookup'!$D:$D,J30,'Points Lookup'!$E:$E)</f>
        <v>32411</v>
      </c>
      <c r="L30" s="249">
        <f>SUMIF('Points Lookup'!$A:$A,J30,'Points Lookup'!$B:$B)</f>
        <v>31411</v>
      </c>
      <c r="M30" s="71"/>
      <c r="N30" s="41"/>
      <c r="O30" s="258"/>
      <c r="P30" s="277"/>
      <c r="Q30" s="274"/>
      <c r="R30" s="48"/>
    </row>
    <row r="31" spans="2:19" ht="30" customHeight="1" x14ac:dyDescent="0.25">
      <c r="B31" s="268"/>
      <c r="C31" s="281"/>
      <c r="D31" s="284"/>
      <c r="E31" s="75"/>
      <c r="F31" s="285" t="s">
        <v>20</v>
      </c>
      <c r="G31" s="288" t="s">
        <v>21</v>
      </c>
      <c r="H31" s="290" t="s">
        <v>22</v>
      </c>
      <c r="I31" s="218" t="s">
        <v>232</v>
      </c>
      <c r="J31" s="212">
        <v>27</v>
      </c>
      <c r="K31" s="249">
        <f>SUMIF('Points Lookup'!$D:$D,J31,'Points Lookup'!$E:$E)</f>
        <v>33348</v>
      </c>
      <c r="L31" s="249">
        <f>SUMIF('Points Lookup'!$A:$A,J31,'Points Lookup'!$B:$B)</f>
        <v>32348</v>
      </c>
      <c r="M31" s="69" t="s">
        <v>19</v>
      </c>
      <c r="N31" s="41"/>
      <c r="O31" s="258"/>
      <c r="P31" s="277"/>
      <c r="Q31" s="274"/>
      <c r="R31" s="48"/>
    </row>
    <row r="32" spans="2:19" ht="24" customHeight="1" x14ac:dyDescent="0.25">
      <c r="B32" s="268"/>
      <c r="D32" s="219"/>
      <c r="F32" s="286"/>
      <c r="G32" s="288"/>
      <c r="H32" s="291"/>
      <c r="J32" s="212">
        <v>28</v>
      </c>
      <c r="K32" s="249">
        <f>SUMIF('Points Lookup'!$D:$D,J32,'Points Lookup'!$E:$E)</f>
        <v>34314</v>
      </c>
      <c r="L32" s="249">
        <f>SUMIF('Points Lookup'!$A:$A,J32,'Points Lookup'!$B:$B)</f>
        <v>33314</v>
      </c>
      <c r="N32" s="41"/>
      <c r="O32" s="258"/>
      <c r="P32" s="277"/>
      <c r="Q32" s="274"/>
      <c r="R32" s="48"/>
    </row>
    <row r="33" spans="2:18" ht="24" customHeight="1" x14ac:dyDescent="0.25">
      <c r="B33" s="268"/>
      <c r="D33" s="30"/>
      <c r="F33" s="286"/>
      <c r="G33" s="288"/>
      <c r="H33" s="291"/>
      <c r="J33" s="212">
        <v>29</v>
      </c>
      <c r="K33" s="249">
        <f>SUMIF('Points Lookup'!$D:$D,J33,'Points Lookup'!$E:$E)</f>
        <v>35308</v>
      </c>
      <c r="L33" s="249">
        <f>SUMIF('Points Lookup'!$A:$A,J33,'Points Lookup'!$B:$B)</f>
        <v>34308</v>
      </c>
      <c r="N33" s="41"/>
      <c r="O33" s="258"/>
      <c r="P33" s="277"/>
      <c r="Q33" s="274"/>
      <c r="R33" s="48"/>
    </row>
    <row r="34" spans="2:18" ht="24" customHeight="1" x14ac:dyDescent="0.25">
      <c r="B34" s="269"/>
      <c r="C34" s="220"/>
      <c r="D34" s="221"/>
      <c r="E34" s="73"/>
      <c r="F34" s="286"/>
      <c r="G34" s="288"/>
      <c r="H34" s="291"/>
      <c r="I34" s="75"/>
      <c r="J34" s="212">
        <v>30</v>
      </c>
      <c r="K34" s="249">
        <f>SUMIF('Points Lookup'!$D:$D,J34,'Points Lookup'!$E:$E)</f>
        <v>36333</v>
      </c>
      <c r="L34" s="249">
        <f>SUMIF('Points Lookup'!$A:$A,J34,'Points Lookup'!$B:$B)</f>
        <v>35333</v>
      </c>
      <c r="M34" s="45"/>
      <c r="N34" s="42"/>
      <c r="O34" s="259"/>
      <c r="P34" s="278"/>
      <c r="Q34" s="275"/>
      <c r="R34" s="48"/>
    </row>
    <row r="35" spans="2:18" ht="24" customHeight="1" x14ac:dyDescent="0.25">
      <c r="E35" s="217"/>
      <c r="F35" s="286"/>
      <c r="G35" s="288"/>
      <c r="H35" s="291"/>
      <c r="I35" s="41"/>
      <c r="J35" s="212">
        <v>31</v>
      </c>
      <c r="K35" s="249">
        <f>SUMIF('Points Lookup'!$D:$D,J35,'Points Lookup'!$E:$E)</f>
        <v>37386</v>
      </c>
      <c r="L35" s="249">
        <f>SUMIF('Points Lookup'!$A:$A,J35,'Points Lookup'!$B:$B)</f>
        <v>0</v>
      </c>
    </row>
    <row r="36" spans="2:18" ht="24" customHeight="1" x14ac:dyDescent="0.25">
      <c r="E36" s="217"/>
      <c r="F36" s="286"/>
      <c r="G36" s="288"/>
      <c r="H36" s="291"/>
      <c r="I36" s="41"/>
      <c r="J36" s="212">
        <v>32</v>
      </c>
      <c r="K36" s="249">
        <f>SUMIF('Points Lookup'!$D:$D,J36,'Points Lookup'!$E:$E)</f>
        <v>38474</v>
      </c>
      <c r="L36" s="249">
        <f>SUMIF('Points Lookup'!$A:$A,J36,'Points Lookup'!$B:$B)</f>
        <v>0</v>
      </c>
    </row>
    <row r="37" spans="2:18" ht="24" customHeight="1" x14ac:dyDescent="0.25">
      <c r="E37" s="217"/>
      <c r="F37" s="286"/>
      <c r="G37" s="288"/>
      <c r="H37" s="291"/>
      <c r="I37" s="41"/>
      <c r="J37" s="212">
        <v>33</v>
      </c>
      <c r="K37" s="249">
        <f>SUMIF('Points Lookup'!$D:$D,J37,'Points Lookup'!$E:$E)</f>
        <v>39592</v>
      </c>
      <c r="L37" s="249">
        <f>SUMIF('Points Lookup'!$A:$A,J37,'Points Lookup'!$B:$B)</f>
        <v>0</v>
      </c>
      <c r="N37" s="272" t="s">
        <v>23</v>
      </c>
    </row>
    <row r="38" spans="2:18" ht="24" customHeight="1" x14ac:dyDescent="0.25">
      <c r="E38" s="217"/>
      <c r="F38" s="286"/>
      <c r="G38" s="288"/>
      <c r="H38" s="291"/>
      <c r="I38" s="41"/>
      <c r="J38" s="212">
        <v>34</v>
      </c>
      <c r="K38" s="249">
        <f>SUMIF('Points Lookup'!$D:$D,J38,'Points Lookup'!$E:$E)</f>
        <v>40745</v>
      </c>
      <c r="L38" s="249">
        <f>SUMIF('Points Lookup'!$A:$A,J38,'Points Lookup'!$B:$B)</f>
        <v>0</v>
      </c>
      <c r="N38" s="268"/>
    </row>
    <row r="39" spans="2:18" ht="24" customHeight="1" x14ac:dyDescent="0.25">
      <c r="E39" s="217"/>
      <c r="F39" s="286"/>
      <c r="G39" s="288"/>
      <c r="H39" s="291"/>
      <c r="I39" s="41"/>
      <c r="J39" s="212">
        <v>35</v>
      </c>
      <c r="K39" s="249">
        <f>SUMIF('Points Lookup'!$D:$D,J39,'Points Lookup'!$E:$E)</f>
        <v>41931</v>
      </c>
      <c r="L39" s="249">
        <f>SUMIF('Points Lookup'!$A:$A,J39,'Points Lookup'!$B:$B)</f>
        <v>0</v>
      </c>
      <c r="N39" s="269"/>
    </row>
    <row r="40" spans="2:18" ht="24" customHeight="1" x14ac:dyDescent="0.25">
      <c r="E40" s="217"/>
      <c r="F40" s="286"/>
      <c r="G40" s="289"/>
      <c r="H40" s="291"/>
      <c r="I40" s="42"/>
      <c r="J40" s="212">
        <v>36</v>
      </c>
      <c r="K40" s="249">
        <f>SUMIF('Points Lookup'!$D:$D,J40,'Points Lookup'!$E:$E)</f>
        <v>43155</v>
      </c>
      <c r="L40" s="249">
        <f>SUMIF('Points Lookup'!$A:$A,J40,'Points Lookup'!$B:$B)</f>
        <v>0</v>
      </c>
      <c r="M40" s="43"/>
      <c r="N40" s="296" t="s">
        <v>25</v>
      </c>
      <c r="O40" s="288" t="s">
        <v>26</v>
      </c>
      <c r="P40" s="297" t="s">
        <v>27</v>
      </c>
      <c r="R40" s="48"/>
    </row>
    <row r="41" spans="2:18" ht="30" customHeight="1" x14ac:dyDescent="0.25">
      <c r="E41" s="217"/>
      <c r="F41" s="286"/>
      <c r="G41" s="288"/>
      <c r="H41" s="291"/>
      <c r="I41" s="64" t="s">
        <v>24</v>
      </c>
      <c r="J41" s="212">
        <v>37</v>
      </c>
      <c r="K41" s="249">
        <f>SUMIF('Points Lookup'!$D:$D,J41,'Points Lookup'!$E:$E)</f>
        <v>44414</v>
      </c>
      <c r="L41" s="249">
        <f>SUMIF('Points Lookup'!$A:$A,J41,'Points Lookup'!$B:$B)</f>
        <v>0</v>
      </c>
      <c r="N41" s="296"/>
      <c r="O41" s="288"/>
      <c r="P41" s="297"/>
      <c r="R41" s="48"/>
    </row>
    <row r="42" spans="2:18" ht="24" customHeight="1" x14ac:dyDescent="0.25">
      <c r="E42" s="217"/>
      <c r="F42" s="286"/>
      <c r="G42" s="288"/>
      <c r="H42" s="291"/>
      <c r="I42" s="41"/>
      <c r="J42" s="212">
        <v>38</v>
      </c>
      <c r="K42" s="249">
        <f>SUMIF('Points Lookup'!$D:$D,J42,'Points Lookup'!$E:$E)</f>
        <v>45737</v>
      </c>
      <c r="L42" s="249">
        <f>SUMIF('Points Lookup'!$A:$A,J42,'Points Lookup'!$B:$B)</f>
        <v>0</v>
      </c>
      <c r="N42" s="296"/>
      <c r="O42" s="288"/>
      <c r="P42" s="297"/>
      <c r="R42" s="48"/>
    </row>
    <row r="43" spans="2:18" ht="24" customHeight="1" x14ac:dyDescent="0.25">
      <c r="E43" s="222"/>
      <c r="F43" s="287"/>
      <c r="G43" s="288"/>
      <c r="H43" s="292"/>
      <c r="I43" s="42"/>
      <c r="J43" s="212">
        <v>39</v>
      </c>
      <c r="K43" s="249">
        <f>SUMIF('Points Lookup'!$D:$D,J43,'Points Lookup'!$E:$E)</f>
        <v>47047</v>
      </c>
      <c r="L43" s="249">
        <f>SUMIF('Points Lookup'!$A:$A,J43,'Points Lookup'!$B:$B)</f>
        <v>0</v>
      </c>
      <c r="N43" s="296"/>
      <c r="O43" s="288"/>
      <c r="P43" s="297"/>
      <c r="R43" s="48"/>
    </row>
    <row r="44" spans="2:18" ht="24" customHeight="1" x14ac:dyDescent="0.25">
      <c r="J44" s="212">
        <v>40</v>
      </c>
      <c r="K44" s="249">
        <f>SUMIF('Points Lookup'!$D:$D,J44,'Points Lookup'!$E:$E)</f>
        <v>48423</v>
      </c>
      <c r="L44" s="249">
        <f>SUMIF('Points Lookup'!$A:$A,J44,'Points Lookup'!$B:$B)</f>
        <v>0</v>
      </c>
      <c r="N44" s="296"/>
      <c r="O44" s="288"/>
      <c r="P44" s="297"/>
      <c r="R44" s="48"/>
    </row>
    <row r="45" spans="2:18" ht="24" customHeight="1" x14ac:dyDescent="0.25">
      <c r="J45" s="212">
        <v>41</v>
      </c>
      <c r="K45" s="249">
        <f>SUMIF('Points Lookup'!$D:$D,J45,'Points Lookup'!$E:$E)</f>
        <v>49841</v>
      </c>
      <c r="L45" s="249">
        <f>SUMIF('Points Lookup'!$A:$A,J45,'Points Lookup'!$B:$B)</f>
        <v>0</v>
      </c>
      <c r="N45" s="296"/>
      <c r="O45" s="288"/>
      <c r="P45" s="297"/>
      <c r="R45" s="48"/>
    </row>
    <row r="46" spans="2:18" ht="24" customHeight="1" x14ac:dyDescent="0.25">
      <c r="J46" s="212">
        <v>42</v>
      </c>
      <c r="K46" s="249">
        <f>SUMIF('Points Lookup'!$D:$D,J46,'Points Lookup'!$E:$E)</f>
        <v>51306</v>
      </c>
      <c r="L46" s="249">
        <f>SUMIF('Points Lookup'!$A:$A,J46,'Points Lookup'!$B:$B)</f>
        <v>0</v>
      </c>
      <c r="N46" s="296"/>
      <c r="O46" s="288"/>
      <c r="P46" s="297"/>
      <c r="R46" s="48"/>
    </row>
    <row r="47" spans="2:18" ht="24" customHeight="1" x14ac:dyDescent="0.25">
      <c r="J47" s="212">
        <v>43</v>
      </c>
      <c r="K47" s="249">
        <f>SUMIF('Points Lookup'!$D:$D,J47,'Points Lookup'!$E:$E)</f>
        <v>52841</v>
      </c>
      <c r="L47" s="249">
        <f>SUMIF('Points Lookup'!$A:$A,J47,'Points Lookup'!$B:$B)</f>
        <v>0</v>
      </c>
      <c r="N47" s="296"/>
      <c r="O47" s="288"/>
      <c r="P47" s="297"/>
      <c r="R47" s="48"/>
    </row>
    <row r="48" spans="2:18" ht="30" customHeight="1" x14ac:dyDescent="0.25">
      <c r="J48" s="212">
        <v>44</v>
      </c>
      <c r="K48" s="249">
        <f>SUMIF('Points Lookup'!$D:$D,J48,'Points Lookup'!$E:$E)</f>
        <v>54421</v>
      </c>
      <c r="L48" s="249">
        <f>SUMIF('Points Lookup'!$A:$A,J48,'Points Lookup'!$B:$B)</f>
        <v>0</v>
      </c>
      <c r="M48" s="69" t="s">
        <v>28</v>
      </c>
      <c r="N48" s="296"/>
      <c r="O48" s="288"/>
      <c r="P48" s="297"/>
      <c r="R48" s="48"/>
    </row>
    <row r="49" spans="2:19" ht="24" customHeight="1" x14ac:dyDescent="0.25">
      <c r="F49" s="285" t="s">
        <v>29</v>
      </c>
      <c r="G49" s="257" t="s">
        <v>30</v>
      </c>
      <c r="H49" s="290" t="s">
        <v>31</v>
      </c>
      <c r="I49" s="40"/>
      <c r="J49" s="212">
        <v>45</v>
      </c>
      <c r="K49" s="249">
        <f>SUMIF('Points Lookup'!$D:$D,J49,'Points Lookup'!$E:$E)</f>
        <v>56048</v>
      </c>
      <c r="L49" s="249">
        <f>SUMIF('Points Lookup'!$A:$A,J49,'Points Lookup'!$B:$B)</f>
        <v>0</v>
      </c>
      <c r="N49" s="296"/>
      <c r="O49" s="288"/>
      <c r="P49" s="297"/>
      <c r="R49" s="48"/>
    </row>
    <row r="50" spans="2:19" ht="24" customHeight="1" x14ac:dyDescent="0.25">
      <c r="F50" s="286"/>
      <c r="G50" s="258"/>
      <c r="H50" s="291"/>
      <c r="I50" s="41"/>
      <c r="J50" s="212">
        <v>46</v>
      </c>
      <c r="K50" s="249">
        <f>SUMIF('Points Lookup'!$D:$D,J50,'Points Lookup'!$E:$E)</f>
        <v>57723</v>
      </c>
      <c r="L50" s="249">
        <f>SUMIF('Points Lookup'!$A:$A,J50,'Points Lookup'!$B:$B)</f>
        <v>0</v>
      </c>
      <c r="N50" s="296"/>
      <c r="O50" s="288"/>
      <c r="P50" s="297"/>
      <c r="R50" s="48"/>
    </row>
    <row r="51" spans="2:19" ht="24" customHeight="1" x14ac:dyDescent="0.25">
      <c r="F51" s="286"/>
      <c r="G51" s="258"/>
      <c r="H51" s="291"/>
      <c r="I51" s="41"/>
      <c r="J51" s="212">
        <v>47</v>
      </c>
      <c r="K51" s="249">
        <f>SUMIF('Points Lookup'!$D:$D,J51,'Points Lookup'!$E:$E)</f>
        <v>59450</v>
      </c>
      <c r="L51" s="249">
        <f>SUMIF('Points Lookup'!$A:$A,J51,'Points Lookup'!$B:$B)</f>
        <v>0</v>
      </c>
      <c r="N51" s="296"/>
      <c r="O51" s="288"/>
      <c r="P51" s="297"/>
      <c r="R51" s="48"/>
    </row>
    <row r="52" spans="2:19" ht="24" customHeight="1" x14ac:dyDescent="0.25">
      <c r="F52" s="286"/>
      <c r="G52" s="258"/>
      <c r="H52" s="291"/>
      <c r="I52" s="41"/>
      <c r="J52" s="212">
        <v>48</v>
      </c>
      <c r="K52" s="249">
        <f>SUMIF('Points Lookup'!$D:$D,J52,'Points Lookup'!$E:$E)</f>
        <v>61228</v>
      </c>
      <c r="L52" s="249">
        <f>SUMIF('Points Lookup'!$A:$A,J52,'Points Lookup'!$B:$B)</f>
        <v>0</v>
      </c>
      <c r="M52" s="45"/>
      <c r="N52" s="296"/>
      <c r="O52" s="288"/>
      <c r="P52" s="297"/>
      <c r="Q52" s="224"/>
      <c r="R52" s="48"/>
    </row>
    <row r="53" spans="2:19" ht="24" customHeight="1" x14ac:dyDescent="0.25">
      <c r="F53" s="286"/>
      <c r="G53" s="258"/>
      <c r="H53" s="291"/>
      <c r="I53" s="41"/>
      <c r="J53" s="212">
        <v>49</v>
      </c>
      <c r="K53" s="249">
        <f>SUMIF('Points Lookup'!$D:$D,J53,'Points Lookup'!$E:$E)</f>
        <v>63059</v>
      </c>
      <c r="L53" s="249">
        <f>SUMIF('Points Lookup'!$A:$A,J53,'Points Lookup'!$B:$B)</f>
        <v>0</v>
      </c>
    </row>
    <row r="54" spans="2:19" ht="24" customHeight="1" x14ac:dyDescent="0.25">
      <c r="F54" s="286"/>
      <c r="G54" s="258"/>
      <c r="H54" s="291"/>
      <c r="I54" s="41"/>
      <c r="J54" s="212">
        <v>50</v>
      </c>
      <c r="K54" s="249">
        <f>SUMIF('Points Lookup'!$D:$D,J54,'Points Lookup'!$E:$E)</f>
        <v>64946</v>
      </c>
      <c r="L54" s="249">
        <f>SUMIF('Points Lookup'!$A:$A,J54,'Points Lookup'!$B:$B)</f>
        <v>0</v>
      </c>
    </row>
    <row r="55" spans="2:19" ht="24" customHeight="1" x14ac:dyDescent="0.25">
      <c r="F55" s="286"/>
      <c r="G55" s="258"/>
      <c r="H55" s="291"/>
      <c r="J55" s="212">
        <v>51</v>
      </c>
      <c r="K55" s="249">
        <f>SUMIF('Points Lookup'!$D:$D,J55,'Points Lookup'!$E:$E)</f>
        <v>66890</v>
      </c>
      <c r="L55" s="249">
        <f>SUMIF('Points Lookup'!$A:$A,J55,'Points Lookup'!$B:$B)</f>
        <v>0</v>
      </c>
    </row>
    <row r="56" spans="2:19" ht="30" customHeight="1" x14ac:dyDescent="0.25">
      <c r="F56" s="286"/>
      <c r="G56" s="258"/>
      <c r="H56" s="291"/>
      <c r="I56" s="64" t="s">
        <v>32</v>
      </c>
      <c r="J56" s="212">
        <v>52</v>
      </c>
      <c r="K56" s="249">
        <f>SUMIF('Points Lookup'!$D:$D,J56,'Points Lookup'!$E:$E)</f>
        <v>68871</v>
      </c>
      <c r="L56" s="249">
        <f>SUMIF('Points Lookup'!$A:$A,J56,'Points Lookup'!$B:$B)</f>
        <v>0</v>
      </c>
    </row>
    <row r="57" spans="2:19" ht="24" customHeight="1" x14ac:dyDescent="0.25">
      <c r="F57" s="286"/>
      <c r="G57" s="258"/>
      <c r="H57" s="291"/>
      <c r="I57" s="41"/>
      <c r="J57" s="212">
        <v>53</v>
      </c>
      <c r="K57" s="249">
        <f>SUMIF('Points Lookup'!$D:$D,J57,'Points Lookup'!$E:$E)</f>
        <v>70932</v>
      </c>
      <c r="L57" s="249">
        <f>SUMIF('Points Lookup'!$A:$A,J57,'Points Lookup'!$B:$B)</f>
        <v>0</v>
      </c>
    </row>
    <row r="58" spans="2:19" ht="24" customHeight="1" x14ac:dyDescent="0.25">
      <c r="F58" s="286"/>
      <c r="G58" s="258"/>
      <c r="H58" s="291"/>
      <c r="I58" s="41"/>
      <c r="J58" s="212">
        <v>54</v>
      </c>
      <c r="K58" s="249">
        <f>SUMIF('Points Lookup'!$D:$D,J58,'Points Lookup'!$E:$E)</f>
        <v>73058</v>
      </c>
      <c r="L58" s="249">
        <f>SUMIF('Points Lookup'!$A:$A,J58,'Points Lookup'!$B:$B)</f>
        <v>0</v>
      </c>
    </row>
    <row r="59" spans="2:19" ht="24" customHeight="1" x14ac:dyDescent="0.25">
      <c r="F59" s="286"/>
      <c r="G59" s="258"/>
      <c r="H59" s="291"/>
      <c r="I59" s="41"/>
      <c r="J59" s="212">
        <v>55</v>
      </c>
      <c r="K59" s="249">
        <f>SUMIF('Points Lookup'!$D:$D,J59,'Points Lookup'!$E:$E)</f>
        <v>75243</v>
      </c>
      <c r="L59" s="249">
        <f>SUMIF('Points Lookup'!$A:$A,J59,'Points Lookup'!$B:$B)</f>
        <v>0</v>
      </c>
    </row>
    <row r="60" spans="2:19" ht="24" customHeight="1" x14ac:dyDescent="0.25">
      <c r="F60" s="286"/>
      <c r="G60" s="258"/>
      <c r="H60" s="291"/>
      <c r="I60" s="41"/>
      <c r="J60" s="212">
        <v>56</v>
      </c>
      <c r="K60" s="249">
        <f>SUMIF('Points Lookup'!$D:$D,J60,'Points Lookup'!$E:$E)</f>
        <v>77495</v>
      </c>
      <c r="L60" s="249">
        <f>SUMIF('Points Lookup'!$A:$A,J60,'Points Lookup'!$B:$B)</f>
        <v>0</v>
      </c>
    </row>
    <row r="61" spans="2:19" ht="24" customHeight="1" x14ac:dyDescent="0.25">
      <c r="F61" s="287"/>
      <c r="G61" s="259"/>
      <c r="H61" s="292"/>
      <c r="I61" s="42"/>
      <c r="J61" s="212">
        <v>57</v>
      </c>
      <c r="K61" s="249">
        <f>SUMIF('Points Lookup'!$D:$D,J61,'Points Lookup'!$E:$E)</f>
        <v>79814</v>
      </c>
      <c r="L61" s="249">
        <f>SUMIF('Points Lookup'!$A:$A,J61,'Points Lookup'!$B:$B)</f>
        <v>0</v>
      </c>
    </row>
    <row r="62" spans="2:19" ht="114.75" customHeight="1" x14ac:dyDescent="0.25">
      <c r="B62" s="293" t="str">
        <f>_xlfn.CONCAT("Effective date(s) of pay award: ",
IF(MAX('Notes &amp; Guidance'!$C$8:$C$11)=MIN('Notes &amp; Guidance'!$C$8:$C$11),TEXT('Notes &amp; Guidance'!$C$8,"D MMMM YYYY")&amp;" (main pay scale).",
IF(AND('Notes &amp; Guidance'!$C$8='Notes &amp; Guidance'!$C$10,'Notes &amp; Guidance'!$C$9='Notes &amp; Guidance'!$C$11),TEXT('Notes &amp; Guidance'!$C$8,"D MMMM YYYY")&amp;" (L1-3 staff), "&amp;TEXT('Notes &amp; Guidance'!$C$9,"D MMMM YYYY")&amp;" (L4-7 staff).",
IF(AND('Notes &amp; Guidance'!$C$8='Notes &amp; Guidance'!$C$10,'Notes &amp; Guidance'!$C$8='Notes &amp; Guidance'!$C$11),TEXT('Notes &amp; Guidance'!$C$9,"D MMMM YYYY")&amp;" ("&amp;'Notes &amp; Guidance'!$B$9&amp;"), "&amp;TEXT('Notes &amp; Guidance'!$C$8, "D MMMM YYYY")&amp;" (Unison and Unite represented staff groups: "&amp;'Notes &amp; Guidance'!$B$8&amp;", "&amp;'Notes &amp; Guidance'!$B$10&amp;", "&amp;'Notes &amp; Guidance'!$B$11&amp;").",
IF('Notes &amp; Guidance'!$C$10='Notes &amp; Guidance'!$C$11,TEXT('Notes &amp; Guidance'!$C$9,"D MMMM YYYY")&amp;" ("&amp;'Notes &amp; Guidance'!$B$9&amp;"), "&amp;TEXT('Notes &amp; Guidance'!$C$8,"D MMMM YYYY")&amp;" ("&amp;'Notes &amp; Guidance'!$B$8&amp;"), "&amp;TEXT('Notes &amp; Guidance'!$C$10,"D MMMM YYYY")&amp;" (all TS staff).",)))))</f>
        <v>Effective date(s) of pay award: 1 August 2022 (L1-3 staff), 1 February 2023 (L4-7 staff).</v>
      </c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</row>
    <row r="63" spans="2:19" ht="33" customHeight="1" x14ac:dyDescent="0.25">
      <c r="B63" s="293" t="str">
        <f>"Document version: "&amp;'Notes &amp; Guidance'!$A$4</f>
        <v>Document version: 2023.1</v>
      </c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</row>
  </sheetData>
  <sheetProtection algorithmName="SHA-512" hashValue="e0MgBoW4/OaRnHrde3wfLDKN9/x5wwJ+6d46lOg7Q8iWD03bbCNuOYOfBU1ItE6Gyim/qvf3qa0+Ntps5B22kw==" saltValue="Ax2oWQxFS8M1lfCQCmBFYw==" spinCount="100000" sheet="1" objects="1" scenarios="1"/>
  <mergeCells count="33">
    <mergeCell ref="B62:S62"/>
    <mergeCell ref="B63:S63"/>
    <mergeCell ref="O14:O16"/>
    <mergeCell ref="P14:P16"/>
    <mergeCell ref="Q14:Q16"/>
    <mergeCell ref="F14:F15"/>
    <mergeCell ref="S17:S19"/>
    <mergeCell ref="N40:N52"/>
    <mergeCell ref="O40:O52"/>
    <mergeCell ref="P40:P52"/>
    <mergeCell ref="F49:F61"/>
    <mergeCell ref="G49:G61"/>
    <mergeCell ref="H49:H61"/>
    <mergeCell ref="P24:P34"/>
    <mergeCell ref="Q24:Q34"/>
    <mergeCell ref="B27:B31"/>
    <mergeCell ref="N37:N39"/>
    <mergeCell ref="E17:E25"/>
    <mergeCell ref="F17:F25"/>
    <mergeCell ref="G17:G25"/>
    <mergeCell ref="C27:C31"/>
    <mergeCell ref="D27:D31"/>
    <mergeCell ref="F31:F43"/>
    <mergeCell ref="G31:G43"/>
    <mergeCell ref="H31:H43"/>
    <mergeCell ref="S20:S26"/>
    <mergeCell ref="O24:O34"/>
    <mergeCell ref="A1:S2"/>
    <mergeCell ref="A4:S4"/>
    <mergeCell ref="E10:P10"/>
    <mergeCell ref="B32:B34"/>
    <mergeCell ref="A6:S6"/>
    <mergeCell ref="E8:O8"/>
  </mergeCells>
  <conditionalFormatting sqref="G31:G43">
    <cfRule type="expression" dxfId="7" priority="2" stopIfTrue="1">
      <formula>RIGHT(G31,12)="Standard Max"</formula>
    </cfRule>
  </conditionalFormatting>
  <conditionalFormatting sqref="F31:F43">
    <cfRule type="expression" dxfId="6" priority="1" stopIfTrue="1">
      <formula>RIGHT(F31,12)="Standard Max"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3"/>
  </sheetPr>
  <dimension ref="B2:J15"/>
  <sheetViews>
    <sheetView showGridLines="0" zoomScale="160" zoomScaleNormal="160" workbookViewId="0">
      <selection activeCell="C18" sqref="C18"/>
    </sheetView>
  </sheetViews>
  <sheetFormatPr defaultColWidth="9.140625" defaultRowHeight="15" x14ac:dyDescent="0.25"/>
  <cols>
    <col min="2" max="2" width="29.85546875" customWidth="1"/>
    <col min="3" max="3" width="34.28515625" style="14" bestFit="1" customWidth="1"/>
    <col min="4" max="4" width="15" customWidth="1"/>
    <col min="5" max="5" width="10" bestFit="1" customWidth="1"/>
    <col min="8" max="8" width="19.85546875" bestFit="1" customWidth="1"/>
    <col min="10" max="10" width="19.85546875" bestFit="1" customWidth="1"/>
  </cols>
  <sheetData>
    <row r="2" spans="2:10" x14ac:dyDescent="0.25">
      <c r="B2" s="13" t="s">
        <v>208</v>
      </c>
      <c r="C2" s="193">
        <v>2023</v>
      </c>
      <c r="D2" t="s">
        <v>209</v>
      </c>
    </row>
    <row r="3" spans="2:10" x14ac:dyDescent="0.25">
      <c r="C3" s="194"/>
    </row>
    <row r="4" spans="2:10" x14ac:dyDescent="0.25">
      <c r="B4" s="145" t="s">
        <v>210</v>
      </c>
      <c r="C4" s="193">
        <v>758</v>
      </c>
      <c r="D4" s="205" t="s">
        <v>211</v>
      </c>
    </row>
    <row r="5" spans="2:10" x14ac:dyDescent="0.25">
      <c r="B5" s="145" t="s">
        <v>212</v>
      </c>
      <c r="C5" s="207">
        <v>0</v>
      </c>
      <c r="D5" s="205" t="s">
        <v>213</v>
      </c>
    </row>
    <row r="6" spans="2:10" x14ac:dyDescent="0.25">
      <c r="B6" s="145" t="s">
        <v>214</v>
      </c>
      <c r="C6" s="208">
        <v>0.13800000000000001</v>
      </c>
      <c r="D6" s="206" t="s">
        <v>215</v>
      </c>
    </row>
    <row r="7" spans="2:10" x14ac:dyDescent="0.25">
      <c r="B7" s="145" t="s">
        <v>216</v>
      </c>
      <c r="C7" s="208">
        <v>0.13800000000000001</v>
      </c>
      <c r="D7" s="206" t="s">
        <v>217</v>
      </c>
    </row>
    <row r="9" spans="2:10" x14ac:dyDescent="0.25">
      <c r="B9" s="146" t="s">
        <v>55</v>
      </c>
      <c r="C9" s="18">
        <v>5.0000000000000001E-3</v>
      </c>
    </row>
    <row r="11" spans="2:10" x14ac:dyDescent="0.25">
      <c r="B11" s="13" t="s">
        <v>218</v>
      </c>
      <c r="C11" s="13"/>
      <c r="E11" s="13" t="s">
        <v>219</v>
      </c>
      <c r="F11" s="13"/>
      <c r="H11" s="13" t="s">
        <v>220</v>
      </c>
      <c r="J11" s="13" t="s">
        <v>221</v>
      </c>
    </row>
    <row r="12" spans="2:10" x14ac:dyDescent="0.25">
      <c r="B12" s="146" t="s">
        <v>12</v>
      </c>
      <c r="C12" s="17">
        <f>IF(Rates!$C$6="","",SUMIF(Grades!$A:$A,Rates!$C$6,Grades!$BM:$BM))</f>
        <v>0</v>
      </c>
      <c r="D12" s="1"/>
      <c r="E12" s="147" t="s">
        <v>222</v>
      </c>
      <c r="F12" s="148">
        <v>0.216</v>
      </c>
      <c r="H12" s="149" t="s">
        <v>127</v>
      </c>
      <c r="J12" s="149" t="s">
        <v>161</v>
      </c>
    </row>
    <row r="13" spans="2:10" x14ac:dyDescent="0.25">
      <c r="B13" s="147" t="s">
        <v>223</v>
      </c>
      <c r="C13" s="148">
        <v>23</v>
      </c>
      <c r="D13" s="1"/>
      <c r="E13" s="147" t="s">
        <v>224</v>
      </c>
      <c r="F13" s="247">
        <v>0.20599999999999999</v>
      </c>
      <c r="H13" s="149" t="s">
        <v>137</v>
      </c>
    </row>
    <row r="14" spans="2:10" x14ac:dyDescent="0.25">
      <c r="B14" s="146" t="s">
        <v>225</v>
      </c>
      <c r="C14" s="148">
        <v>30</v>
      </c>
      <c r="D14" s="1"/>
      <c r="E14" s="147" t="s">
        <v>226</v>
      </c>
      <c r="F14" s="247">
        <v>0.30599999999999999</v>
      </c>
      <c r="H14" s="149" t="s">
        <v>146</v>
      </c>
    </row>
    <row r="15" spans="2:10" x14ac:dyDescent="0.25">
      <c r="B15" s="146" t="s">
        <v>114</v>
      </c>
      <c r="C15" s="17">
        <f>IF(Rates!$C$6="","",SUMIF(Grades!$A:$A,Rates!$C$6,Grades!$BN:$BN))</f>
        <v>0</v>
      </c>
      <c r="D15" s="1"/>
      <c r="E15" s="147" t="s">
        <v>227</v>
      </c>
      <c r="F15" s="148">
        <v>0.12</v>
      </c>
    </row>
  </sheetData>
  <phoneticPr fontId="4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04D6-BFA2-4BFF-B08A-957920607149}">
  <sheetPr>
    <pageSetUpPr fitToPage="1"/>
  </sheetPr>
  <dimension ref="B1:T22"/>
  <sheetViews>
    <sheetView showGridLines="0" zoomScaleNormal="100" workbookViewId="0"/>
  </sheetViews>
  <sheetFormatPr defaultColWidth="9.140625" defaultRowHeight="13.5" x14ac:dyDescent="0.2"/>
  <cols>
    <col min="1" max="1" width="6.7109375" style="28" customWidth="1"/>
    <col min="2" max="2" width="11.140625" style="28" customWidth="1"/>
    <col min="3" max="3" width="30.7109375" style="28" customWidth="1"/>
    <col min="4" max="4" width="49.28515625" style="28" bestFit="1" customWidth="1"/>
    <col min="5" max="5" width="10.7109375" style="28" customWidth="1"/>
    <col min="6" max="16384" width="9.140625" style="28"/>
  </cols>
  <sheetData>
    <row r="1" spans="2:5" ht="39.950000000000003" customHeight="1" x14ac:dyDescent="0.2">
      <c r="B1" s="299" t="s">
        <v>265</v>
      </c>
      <c r="C1" s="300"/>
      <c r="D1" s="300"/>
      <c r="E1" s="301"/>
    </row>
    <row r="2" spans="2:5" ht="14.25" x14ac:dyDescent="0.2">
      <c r="B2" s="29"/>
      <c r="C2" s="30"/>
      <c r="D2" s="29"/>
      <c r="E2" s="29"/>
    </row>
    <row r="3" spans="2:5" ht="30" x14ac:dyDescent="0.2">
      <c r="B3" s="91" t="s">
        <v>279</v>
      </c>
      <c r="C3" s="91"/>
      <c r="D3" s="91"/>
      <c r="E3" s="91"/>
    </row>
    <row r="4" spans="2:5" ht="14.25" x14ac:dyDescent="0.2">
      <c r="B4" s="29"/>
      <c r="C4" s="30"/>
      <c r="D4" s="29"/>
      <c r="E4" s="29"/>
    </row>
    <row r="5" spans="2:5" ht="35.1" customHeight="1" x14ac:dyDescent="0.2">
      <c r="B5" s="302" t="s">
        <v>280</v>
      </c>
      <c r="C5" s="302"/>
      <c r="D5" s="302"/>
      <c r="E5" s="302"/>
    </row>
    <row r="7" spans="2:5" ht="35.1" customHeight="1" x14ac:dyDescent="0.2">
      <c r="B7" s="62" t="s">
        <v>39</v>
      </c>
      <c r="C7" s="63" t="s">
        <v>4</v>
      </c>
      <c r="D7" s="63"/>
    </row>
    <row r="8" spans="2:5" s="46" customFormat="1" ht="30" customHeight="1" x14ac:dyDescent="0.25">
      <c r="B8" s="32">
        <v>1</v>
      </c>
      <c r="C8" s="104">
        <f>VLOOKUP(B8,'Points Lookup'!AJ:AM,4,0)</f>
        <v>13229</v>
      </c>
      <c r="D8" s="242" t="s">
        <v>270</v>
      </c>
    </row>
    <row r="9" spans="2:5" s="46" customFormat="1" ht="30" customHeight="1" x14ac:dyDescent="0.25">
      <c r="B9" s="244">
        <v>2</v>
      </c>
      <c r="C9" s="245">
        <f>VLOOKUP(B9,'Points Lookup'!AJ:AM,4,0)</f>
        <v>13229</v>
      </c>
      <c r="D9" s="246" t="s">
        <v>270</v>
      </c>
    </row>
    <row r="10" spans="2:5" s="46" customFormat="1" ht="30" customHeight="1" x14ac:dyDescent="0.25">
      <c r="B10" s="33">
        <v>3</v>
      </c>
      <c r="C10" s="106">
        <f>VLOOKUP(B10,'Points Lookup'!AJ:AM,4,0)</f>
        <v>13229</v>
      </c>
      <c r="D10" s="243" t="s">
        <v>270</v>
      </c>
    </row>
    <row r="11" spans="2:5" s="46" customFormat="1" ht="30" customHeight="1" x14ac:dyDescent="0.25">
      <c r="B11" s="32">
        <v>4</v>
      </c>
      <c r="C11" s="104">
        <f>VLOOKUP(B11,'Points Lookup'!AJ:AM,4,0)</f>
        <v>16063</v>
      </c>
      <c r="D11" s="242" t="s">
        <v>271</v>
      </c>
    </row>
    <row r="12" spans="2:5" s="46" customFormat="1" ht="30" customHeight="1" x14ac:dyDescent="0.25">
      <c r="B12" s="244">
        <v>5</v>
      </c>
      <c r="C12" s="245">
        <f>VLOOKUP(B12,'Points Lookup'!AJ:AM,4,0)</f>
        <v>16063</v>
      </c>
      <c r="D12" s="246" t="s">
        <v>271</v>
      </c>
    </row>
    <row r="13" spans="2:5" s="46" customFormat="1" ht="30" customHeight="1" x14ac:dyDescent="0.25">
      <c r="B13" s="33">
        <v>6</v>
      </c>
      <c r="C13" s="106">
        <f>VLOOKUP(B13,'Points Lookup'!AJ:AM,4,0)</f>
        <v>16063</v>
      </c>
      <c r="D13" s="243" t="s">
        <v>271</v>
      </c>
    </row>
    <row r="14" spans="2:5" s="46" customFormat="1" ht="30" customHeight="1" x14ac:dyDescent="0.25">
      <c r="B14" s="31">
        <v>7</v>
      </c>
      <c r="C14" s="103">
        <f>VLOOKUP(B14,'Points Lookup'!AJ:AM,4,0)</f>
        <v>18542</v>
      </c>
      <c r="D14" s="233" t="s">
        <v>272</v>
      </c>
    </row>
    <row r="15" spans="2:5" s="46" customFormat="1" ht="30" customHeight="1" x14ac:dyDescent="0.25">
      <c r="B15" s="31">
        <v>8</v>
      </c>
      <c r="C15" s="103">
        <f>VLOOKUP(B15,'Points Lookup'!AJ:AM,4,0)</f>
        <v>18898</v>
      </c>
      <c r="D15" s="233" t="s">
        <v>266</v>
      </c>
    </row>
    <row r="16" spans="2:5" s="46" customFormat="1" ht="30" customHeight="1" x14ac:dyDescent="0.25">
      <c r="B16" s="31">
        <v>9</v>
      </c>
      <c r="C16" s="103">
        <f>VLOOKUP(B16,'Points Lookup'!AJ:AM,4,0)</f>
        <v>19863</v>
      </c>
      <c r="D16" s="233" t="s">
        <v>267</v>
      </c>
    </row>
    <row r="17" spans="2:20" s="46" customFormat="1" ht="30" customHeight="1" x14ac:dyDescent="0.25">
      <c r="B17" s="31">
        <v>10</v>
      </c>
      <c r="C17" s="103">
        <f>VLOOKUP(B17,'Points Lookup'!AJ:AM,4,0)</f>
        <v>20134</v>
      </c>
      <c r="D17" s="233" t="s">
        <v>268</v>
      </c>
    </row>
    <row r="18" spans="2:20" s="46" customFormat="1" ht="30" customHeight="1" x14ac:dyDescent="0.25">
      <c r="B18" s="31">
        <v>11</v>
      </c>
      <c r="C18" s="103">
        <f>VLOOKUP(B18,'Points Lookup'!AJ:AM,4,0)</f>
        <v>20400</v>
      </c>
      <c r="D18" s="233" t="s">
        <v>269</v>
      </c>
    </row>
    <row r="20" spans="2:20" ht="78" customHeight="1" x14ac:dyDescent="0.2">
      <c r="B20" s="298" t="str">
        <f>_xlfn.CONCAT("Effective date of pay award: ",
IF('Notes &amp; Guidance'!$C$13='Notes &amp; Guidance'!$C$14,
TEXT('Notes &amp; Guidance'!$C$13,"D MMMM YYYY"),
TEXT('Notes &amp; Guidance'!$C$13,"D MMMM YYYY")&amp;" ("&amp;'Notes &amp; Guidance'!$B$13&amp;"), "&amp;TEXT('Notes &amp; Guidance'!$C$14,"D MMMM YYYY")&amp;" ("&amp;'Notes &amp; Guidance'!$B$14&amp;")"))</f>
        <v>Effective date of pay award: 1 April 2022</v>
      </c>
      <c r="C20" s="298"/>
      <c r="D20" s="298"/>
      <c r="E20" s="298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">
      <c r="B21" s="197"/>
      <c r="C21" s="197"/>
      <c r="D21" s="197"/>
      <c r="E21" s="197"/>
    </row>
    <row r="22" spans="2:20" ht="23.25" customHeight="1" x14ac:dyDescent="0.2">
      <c r="B22" s="298" t="str">
        <f>"Document version: "&amp;'Notes &amp; Guidance'!$A$4</f>
        <v>Document version: 2023.1</v>
      </c>
      <c r="C22" s="298"/>
      <c r="D22" s="298"/>
      <c r="E22" s="298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</sheetData>
  <sheetProtection algorithmName="SHA-512" hashValue="apWb9rwFqaf2TS38tWxr3m7loyNRN4SlrQ1FWx2NuMi20Lp/nkR6W1bXqt72qQaWopWmnIdeg9bFt4HBxbtNnw==" saltValue="TZSXILf+H5lWd7D+rXpBSA==" spinCount="100000" sheet="1" objects="1" scenarios="1"/>
  <mergeCells count="4">
    <mergeCell ref="B22:E22"/>
    <mergeCell ref="B1:E1"/>
    <mergeCell ref="B5:E5"/>
    <mergeCell ref="B20:E20"/>
  </mergeCells>
  <phoneticPr fontId="52" type="noConversion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X44"/>
  <sheetViews>
    <sheetView showGridLines="0" zoomScaleNormal="100" workbookViewId="0">
      <selection activeCell="B13" sqref="B13"/>
    </sheetView>
  </sheetViews>
  <sheetFormatPr defaultColWidth="9.140625" defaultRowHeight="13.5" x14ac:dyDescent="0.2"/>
  <cols>
    <col min="1" max="1" width="6.7109375" style="28" customWidth="1"/>
    <col min="2" max="9" width="10.7109375" style="28" customWidth="1"/>
    <col min="10" max="16384" width="9.140625" style="28"/>
  </cols>
  <sheetData>
    <row r="1" spans="2:9" ht="39.950000000000003" customHeight="1" x14ac:dyDescent="0.2">
      <c r="B1" s="299" t="s">
        <v>33</v>
      </c>
      <c r="C1" s="300"/>
      <c r="D1" s="300"/>
      <c r="E1" s="300"/>
      <c r="F1" s="300"/>
      <c r="G1" s="300"/>
      <c r="H1" s="300"/>
      <c r="I1" s="301"/>
    </row>
    <row r="2" spans="2:9" ht="14.25" customHeight="1" x14ac:dyDescent="0.2">
      <c r="B2" s="29"/>
      <c r="C2" s="30"/>
      <c r="D2" s="29"/>
      <c r="E2" s="29"/>
      <c r="F2" s="29"/>
      <c r="G2" s="29"/>
      <c r="I2" s="29"/>
    </row>
    <row r="3" spans="2:9" ht="30" x14ac:dyDescent="0.2">
      <c r="B3" s="91" t="s">
        <v>34</v>
      </c>
      <c r="C3" s="91"/>
      <c r="D3" s="91"/>
      <c r="E3" s="91"/>
      <c r="F3" s="91"/>
      <c r="G3" s="91"/>
      <c r="H3" s="91"/>
      <c r="I3" s="91"/>
    </row>
    <row r="4" spans="2:9" ht="14.25" x14ac:dyDescent="0.2">
      <c r="B4" s="29"/>
      <c r="C4" s="30"/>
      <c r="D4" s="29"/>
      <c r="E4" s="29"/>
      <c r="F4" s="29"/>
      <c r="G4" s="29"/>
      <c r="I4" s="29"/>
    </row>
    <row r="5" spans="2:9" ht="18" x14ac:dyDescent="0.25">
      <c r="B5" s="303" t="s">
        <v>35</v>
      </c>
      <c r="C5" s="303"/>
      <c r="D5" s="303"/>
      <c r="E5" s="303"/>
      <c r="F5" s="303"/>
      <c r="G5" s="303"/>
      <c r="H5" s="303"/>
    </row>
    <row r="6" spans="2:9" ht="14.25" x14ac:dyDescent="0.2">
      <c r="B6" s="36"/>
      <c r="C6" s="36"/>
      <c r="D6" s="36"/>
      <c r="E6" s="36"/>
      <c r="F6" s="36"/>
      <c r="G6" s="36"/>
      <c r="H6" s="36"/>
    </row>
    <row r="7" spans="2:9" ht="14.25" x14ac:dyDescent="0.2">
      <c r="B7" s="302" t="s">
        <v>36</v>
      </c>
      <c r="C7" s="302"/>
      <c r="D7" s="302"/>
      <c r="E7" s="302"/>
      <c r="F7" s="302"/>
      <c r="G7" s="302"/>
      <c r="H7" s="302"/>
    </row>
    <row r="8" spans="2:9" ht="6.95" customHeight="1" x14ac:dyDescent="0.2">
      <c r="B8" s="36"/>
      <c r="C8" s="36"/>
      <c r="D8" s="36"/>
      <c r="E8" s="36"/>
      <c r="F8" s="36"/>
      <c r="G8" s="36"/>
      <c r="H8" s="36"/>
    </row>
    <row r="9" spans="2:9" ht="14.25" x14ac:dyDescent="0.2">
      <c r="B9" s="302" t="s">
        <v>37</v>
      </c>
      <c r="C9" s="302"/>
      <c r="D9" s="302"/>
      <c r="E9" s="302"/>
      <c r="F9" s="302"/>
      <c r="G9" s="302"/>
      <c r="H9" s="302"/>
    </row>
    <row r="10" spans="2:9" ht="7.5" customHeight="1" x14ac:dyDescent="0.2">
      <c r="B10" s="36"/>
      <c r="C10" s="36"/>
      <c r="D10" s="36"/>
      <c r="E10" s="36"/>
      <c r="F10" s="36"/>
      <c r="G10" s="36"/>
      <c r="H10" s="36"/>
    </row>
    <row r="11" spans="2:9" ht="32.25" customHeight="1" x14ac:dyDescent="0.2">
      <c r="B11" s="302" t="s">
        <v>38</v>
      </c>
      <c r="C11" s="302"/>
      <c r="D11" s="302"/>
      <c r="E11" s="302"/>
      <c r="F11" s="302"/>
      <c r="G11" s="302"/>
      <c r="H11" s="302"/>
      <c r="I11" s="302"/>
    </row>
    <row r="12" spans="2:9" x14ac:dyDescent="0.2">
      <c r="B12" s="35"/>
      <c r="C12" s="35"/>
      <c r="D12" s="35"/>
      <c r="E12" s="35"/>
      <c r="F12" s="35"/>
      <c r="G12" s="35"/>
      <c r="H12" s="35"/>
    </row>
    <row r="14" spans="2:9" ht="35.1" customHeight="1" x14ac:dyDescent="0.2">
      <c r="B14" s="62" t="s">
        <v>39</v>
      </c>
      <c r="C14" s="63" t="s">
        <v>4</v>
      </c>
    </row>
    <row r="15" spans="2:9" s="46" customFormat="1" ht="24" customHeight="1" x14ac:dyDescent="0.25">
      <c r="B15" s="31">
        <v>1</v>
      </c>
      <c r="C15" s="103">
        <f>VLOOKUP(B15,'Points Lookup'!G:H,2,0)</f>
        <v>66890</v>
      </c>
    </row>
    <row r="16" spans="2:9" s="46" customFormat="1" ht="24" customHeight="1" x14ac:dyDescent="0.25">
      <c r="B16" s="31">
        <v>2</v>
      </c>
      <c r="C16" s="103">
        <f>VLOOKUP(B16,'Points Lookup'!G:H,2,0)</f>
        <v>68224</v>
      </c>
    </row>
    <row r="17" spans="2:5" s="46" customFormat="1" ht="24" customHeight="1" x14ac:dyDescent="0.25">
      <c r="B17" s="31">
        <v>3</v>
      </c>
      <c r="C17" s="103">
        <f>VLOOKUP(B17,'Points Lookup'!G:H,2,0)</f>
        <v>69585</v>
      </c>
    </row>
    <row r="18" spans="2:5" s="46" customFormat="1" ht="24" customHeight="1" x14ac:dyDescent="0.25">
      <c r="B18" s="31">
        <v>4</v>
      </c>
      <c r="C18" s="103">
        <f>VLOOKUP(B18,'Points Lookup'!G:H,2,0)</f>
        <v>70974</v>
      </c>
    </row>
    <row r="19" spans="2:5" s="46" customFormat="1" ht="24" customHeight="1" x14ac:dyDescent="0.25">
      <c r="B19" s="31">
        <v>5</v>
      </c>
      <c r="C19" s="103">
        <f>VLOOKUP(B19,'Points Lookup'!G:H,2,0)</f>
        <v>72390</v>
      </c>
    </row>
    <row r="20" spans="2:5" s="46" customFormat="1" ht="24" customHeight="1" x14ac:dyDescent="0.25">
      <c r="B20" s="31">
        <v>6</v>
      </c>
      <c r="C20" s="103">
        <f>VLOOKUP(B20,'Points Lookup'!G:H,2,0)</f>
        <v>73835</v>
      </c>
    </row>
    <row r="21" spans="2:5" s="46" customFormat="1" ht="24" customHeight="1" x14ac:dyDescent="0.25">
      <c r="B21" s="31">
        <v>7</v>
      </c>
      <c r="C21" s="103">
        <f>VLOOKUP(B21,'Points Lookup'!G:H,2,0)</f>
        <v>75307</v>
      </c>
    </row>
    <row r="22" spans="2:5" s="46" customFormat="1" ht="24" customHeight="1" x14ac:dyDescent="0.25">
      <c r="B22" s="31">
        <v>8</v>
      </c>
      <c r="C22" s="103">
        <f>VLOOKUP(B22,'Points Lookup'!G:H,2,0)</f>
        <v>76809</v>
      </c>
    </row>
    <row r="23" spans="2:5" s="46" customFormat="1" ht="24" customHeight="1" x14ac:dyDescent="0.25">
      <c r="B23" s="31">
        <v>9</v>
      </c>
      <c r="C23" s="103">
        <f>VLOOKUP(B23,'Points Lookup'!G:H,2,0)</f>
        <v>78342</v>
      </c>
    </row>
    <row r="24" spans="2:5" s="46" customFormat="1" ht="24" customHeight="1" x14ac:dyDescent="0.25">
      <c r="B24" s="31">
        <v>10</v>
      </c>
      <c r="C24" s="103">
        <f>VLOOKUP(B24,'Points Lookup'!G:H,2,0)</f>
        <v>79905</v>
      </c>
    </row>
    <row r="25" spans="2:5" s="46" customFormat="1" ht="24" customHeight="1" x14ac:dyDescent="0.25">
      <c r="B25" s="31">
        <v>11</v>
      </c>
      <c r="C25" s="103">
        <f>VLOOKUP(B25,'Points Lookup'!G:H,2,0)</f>
        <v>81497</v>
      </c>
    </row>
    <row r="26" spans="2:5" s="46" customFormat="1" ht="24" customHeight="1" x14ac:dyDescent="0.25">
      <c r="B26" s="31">
        <v>12</v>
      </c>
      <c r="C26" s="103">
        <f>VLOOKUP(B26,'Points Lookup'!G:H,2,0)</f>
        <v>83126</v>
      </c>
    </row>
    <row r="27" spans="2:5" s="46" customFormat="1" ht="24" customHeight="1" x14ac:dyDescent="0.25">
      <c r="B27" s="31">
        <v>13</v>
      </c>
      <c r="C27" s="103">
        <f>VLOOKUP(B27,'Points Lookup'!G:H,2,0)</f>
        <v>84783</v>
      </c>
    </row>
    <row r="28" spans="2:5" s="46" customFormat="1" ht="24" customHeight="1" x14ac:dyDescent="0.25">
      <c r="B28" s="31">
        <v>14</v>
      </c>
      <c r="C28" s="103">
        <f>VLOOKUP(B28,'Points Lookup'!G:H,2,0)</f>
        <v>86477</v>
      </c>
    </row>
    <row r="29" spans="2:5" s="46" customFormat="1" ht="24" customHeight="1" x14ac:dyDescent="0.25">
      <c r="B29" s="31">
        <v>15</v>
      </c>
      <c r="C29" s="103">
        <f>VLOOKUP(B29,'Points Lookup'!G:H,2,0)</f>
        <v>88203</v>
      </c>
    </row>
    <row r="30" spans="2:5" s="46" customFormat="1" ht="24" customHeight="1" x14ac:dyDescent="0.25">
      <c r="B30" s="32">
        <v>16</v>
      </c>
      <c r="C30" s="104">
        <f>VLOOKUP(B30,'Points Lookup'!G:H,2,0)</f>
        <v>89963</v>
      </c>
    </row>
    <row r="31" spans="2:5" s="46" customFormat="1" ht="24" customHeight="1" x14ac:dyDescent="0.25">
      <c r="B31" s="61">
        <v>17</v>
      </c>
      <c r="C31" s="105">
        <f>VLOOKUP(B31,'Points Lookup'!G:H,2,0)</f>
        <v>91759</v>
      </c>
      <c r="D31" s="92" t="s">
        <v>261</v>
      </c>
      <c r="E31" s="92"/>
    </row>
    <row r="32" spans="2:5" s="46" customFormat="1" ht="24" customHeight="1" x14ac:dyDescent="0.25">
      <c r="B32" s="33">
        <v>18</v>
      </c>
      <c r="C32" s="106">
        <f>VLOOKUP(B32,'Points Lookup'!G:H,2,0)</f>
        <v>93589</v>
      </c>
    </row>
    <row r="33" spans="2:24" s="46" customFormat="1" ht="24" customHeight="1" x14ac:dyDescent="0.25">
      <c r="B33" s="31">
        <v>19</v>
      </c>
      <c r="C33" s="103">
        <f>VLOOKUP(B33,'Points Lookup'!G:H,2,0)</f>
        <v>95460</v>
      </c>
    </row>
    <row r="34" spans="2:24" s="46" customFormat="1" ht="24" customHeight="1" x14ac:dyDescent="0.25">
      <c r="B34" s="31">
        <v>20</v>
      </c>
      <c r="C34" s="103">
        <f>VLOOKUP(B34,'Points Lookup'!G:H,2,0)</f>
        <v>97364</v>
      </c>
    </row>
    <row r="35" spans="2:24" s="46" customFormat="1" ht="24" customHeight="1" x14ac:dyDescent="0.25">
      <c r="B35" s="31">
        <v>21</v>
      </c>
      <c r="C35" s="103">
        <f>VLOOKUP(B35,'Points Lookup'!G:H,2,0)</f>
        <v>99307</v>
      </c>
    </row>
    <row r="36" spans="2:24" s="46" customFormat="1" ht="24" customHeight="1" x14ac:dyDescent="0.25">
      <c r="B36" s="31">
        <v>22</v>
      </c>
      <c r="C36" s="103">
        <f>VLOOKUP(B36,'Points Lookup'!G:H,2,0)</f>
        <v>101290</v>
      </c>
    </row>
    <row r="37" spans="2:24" s="46" customFormat="1" ht="24" customHeight="1" x14ac:dyDescent="0.25">
      <c r="B37" s="31">
        <v>23</v>
      </c>
      <c r="C37" s="103">
        <f>VLOOKUP(B37,'Points Lookup'!G:H,2,0)</f>
        <v>103312</v>
      </c>
    </row>
    <row r="38" spans="2:24" s="46" customFormat="1" ht="24" customHeight="1" x14ac:dyDescent="0.25">
      <c r="B38" s="31">
        <v>24</v>
      </c>
      <c r="C38" s="103">
        <f>VLOOKUP(B38,'Points Lookup'!G:H,2,0)</f>
        <v>105374</v>
      </c>
    </row>
    <row r="39" spans="2:24" s="46" customFormat="1" ht="24" customHeight="1" x14ac:dyDescent="0.25">
      <c r="B39" s="31">
        <v>25</v>
      </c>
      <c r="C39" s="103">
        <f>VLOOKUP(B39,'Points Lookup'!G:H,2,0)</f>
        <v>107477</v>
      </c>
    </row>
    <row r="40" spans="2:24" s="46" customFormat="1" ht="24" customHeight="1" x14ac:dyDescent="0.25">
      <c r="B40" s="31">
        <v>26</v>
      </c>
      <c r="C40" s="103">
        <f>VLOOKUP(B40,'Points Lookup'!G:H,2,0)</f>
        <v>109621</v>
      </c>
    </row>
    <row r="42" spans="2:24" ht="78" customHeight="1" x14ac:dyDescent="0.2">
      <c r="B42" s="298" t="str">
        <f>"Effective date of pay award: "&amp;TEXT('Notes &amp; Guidance'!$C$9,"D MMMM YYYY")</f>
        <v>Effective date of pay award: 1 February 2023</v>
      </c>
      <c r="C42" s="298"/>
      <c r="D42" s="298"/>
      <c r="E42" s="298"/>
      <c r="F42" s="298"/>
      <c r="G42" s="298"/>
      <c r="H42" s="298"/>
      <c r="I42" s="298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</row>
    <row r="43" spans="2:24" ht="15" x14ac:dyDescent="0.2">
      <c r="B43" s="197"/>
      <c r="C43" s="197"/>
      <c r="D43" s="197"/>
      <c r="E43" s="197"/>
      <c r="F43" s="197"/>
      <c r="G43" s="197"/>
      <c r="H43" s="197"/>
      <c r="I43" s="197"/>
    </row>
    <row r="44" spans="2:24" ht="23.25" customHeight="1" x14ac:dyDescent="0.2">
      <c r="B44" s="298" t="str">
        <f>"Document version: "&amp;'Notes &amp; Guidance'!$A$4</f>
        <v>Document version: 2023.1</v>
      </c>
      <c r="C44" s="298"/>
      <c r="D44" s="298"/>
      <c r="E44" s="298"/>
      <c r="F44" s="298"/>
      <c r="G44" s="298"/>
      <c r="H44" s="298"/>
      <c r="I44" s="298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</row>
  </sheetData>
  <sheetProtection algorithmName="SHA-512" hashValue="VpzPrcgsEUYI/568nLoj4F3aRv/J5E4+kWGw28xdJMArMA4X0cIQGlnCtUscCjw0WVgG/uysiDxm9hk4bi3hgQ==" saltValue="aDVCG3kdhTiRRtEvYSk7QQ==" spinCount="100000" sheet="1" objects="1" scenarios="1"/>
  <mergeCells count="7">
    <mergeCell ref="B1:I1"/>
    <mergeCell ref="B42:I42"/>
    <mergeCell ref="B44:I44"/>
    <mergeCell ref="B5:H5"/>
    <mergeCell ref="B7:H7"/>
    <mergeCell ref="B9:H9"/>
    <mergeCell ref="B11:I11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F76F-D60A-4BE4-9A22-20751358CC2E}">
  <sheetPr>
    <pageSetUpPr fitToPage="1"/>
  </sheetPr>
  <dimension ref="B1:I34"/>
  <sheetViews>
    <sheetView showGridLines="0" topLeftCell="A10" zoomScaleNormal="100" zoomScaleSheetLayoutView="85" zoomScalePageLayoutView="160" workbookViewId="0">
      <selection activeCell="I28" sqref="I28"/>
    </sheetView>
  </sheetViews>
  <sheetFormatPr defaultColWidth="9.140625" defaultRowHeight="13.5" x14ac:dyDescent="0.2"/>
  <cols>
    <col min="1" max="1" width="6.7109375" style="28" customWidth="1"/>
    <col min="2" max="3" width="10.7109375" style="28" customWidth="1"/>
    <col min="4" max="5" width="10.7109375" style="34" customWidth="1"/>
    <col min="6" max="9" width="10.7109375" style="28" customWidth="1"/>
    <col min="10" max="16384" width="9.140625" style="28"/>
  </cols>
  <sheetData>
    <row r="1" spans="2:9" ht="39.950000000000003" customHeight="1" x14ac:dyDescent="0.2">
      <c r="B1" s="305" t="s">
        <v>33</v>
      </c>
      <c r="C1" s="305"/>
      <c r="D1" s="305"/>
      <c r="E1" s="305"/>
      <c r="F1" s="305"/>
      <c r="G1" s="305"/>
      <c r="H1" s="305"/>
      <c r="I1" s="305"/>
    </row>
    <row r="2" spans="2:9" ht="14.25" customHeight="1" x14ac:dyDescent="0.2">
      <c r="B2" s="29"/>
      <c r="C2" s="29"/>
      <c r="D2" s="30"/>
      <c r="E2" s="30"/>
      <c r="F2" s="30"/>
      <c r="G2" s="29"/>
      <c r="I2" s="29"/>
    </row>
    <row r="3" spans="2:9" ht="30" x14ac:dyDescent="0.2">
      <c r="B3" s="306" t="s">
        <v>34</v>
      </c>
      <c r="C3" s="306"/>
      <c r="D3" s="306"/>
      <c r="E3" s="306"/>
      <c r="F3" s="306"/>
      <c r="G3" s="306"/>
      <c r="H3" s="306"/>
      <c r="I3" s="306"/>
    </row>
    <row r="4" spans="2:9" ht="14.25" x14ac:dyDescent="0.2">
      <c r="B4" s="29"/>
      <c r="C4" s="29"/>
      <c r="D4" s="30"/>
      <c r="E4" s="30"/>
      <c r="F4" s="30"/>
      <c r="G4" s="29"/>
      <c r="I4" s="29"/>
    </row>
    <row r="5" spans="2:9" ht="18" customHeight="1" x14ac:dyDescent="0.25">
      <c r="B5" s="303" t="s">
        <v>35</v>
      </c>
      <c r="C5" s="303"/>
      <c r="D5" s="303"/>
      <c r="E5" s="303"/>
      <c r="F5" s="303"/>
      <c r="G5" s="303"/>
      <c r="H5" s="303"/>
      <c r="I5" s="303"/>
    </row>
    <row r="6" spans="2:9" ht="14.25" x14ac:dyDescent="0.2">
      <c r="C6" s="36"/>
      <c r="D6" s="36"/>
      <c r="E6" s="36"/>
      <c r="F6" s="36"/>
      <c r="G6" s="36"/>
      <c r="H6" s="36"/>
    </row>
    <row r="7" spans="2:9" ht="37.5" customHeight="1" x14ac:dyDescent="0.2">
      <c r="B7" s="307" t="s">
        <v>262</v>
      </c>
      <c r="C7" s="307"/>
      <c r="D7" s="307"/>
      <c r="E7" s="307"/>
      <c r="F7" s="307"/>
      <c r="G7" s="307"/>
      <c r="H7" s="307"/>
      <c r="I7" s="307"/>
    </row>
    <row r="8" spans="2:9" x14ac:dyDescent="0.2">
      <c r="C8" s="35"/>
      <c r="D8" s="35"/>
      <c r="E8" s="35"/>
      <c r="F8" s="35"/>
      <c r="G8" s="35"/>
      <c r="H8" s="35"/>
    </row>
    <row r="9" spans="2:9" x14ac:dyDescent="0.2">
      <c r="D9" s="28"/>
      <c r="E9" s="28"/>
    </row>
    <row r="10" spans="2:9" ht="35.1" customHeight="1" x14ac:dyDescent="0.2">
      <c r="B10" s="62" t="s">
        <v>40</v>
      </c>
      <c r="C10" s="62" t="s">
        <v>39</v>
      </c>
      <c r="D10" s="63" t="s">
        <v>4</v>
      </c>
      <c r="E10" s="28"/>
    </row>
    <row r="11" spans="2:9" ht="24" customHeight="1" x14ac:dyDescent="0.2">
      <c r="B11" s="304" t="s">
        <v>41</v>
      </c>
      <c r="C11" s="31">
        <v>1</v>
      </c>
      <c r="D11" s="103">
        <f>VLOOKUP(C11,'Points Lookup'!J:K,2,0)</f>
        <v>68896</v>
      </c>
      <c r="E11" s="28"/>
    </row>
    <row r="12" spans="2:9" ht="24" customHeight="1" x14ac:dyDescent="0.2">
      <c r="B12" s="304"/>
      <c r="C12" s="31">
        <v>2</v>
      </c>
      <c r="D12" s="103">
        <f>VLOOKUP(C12,'Points Lookup'!J:K,2,0)</f>
        <v>70962</v>
      </c>
      <c r="E12" s="28"/>
    </row>
    <row r="13" spans="2:9" ht="24" customHeight="1" x14ac:dyDescent="0.2">
      <c r="B13" s="304"/>
      <c r="C13" s="31">
        <v>3</v>
      </c>
      <c r="D13" s="103">
        <f>VLOOKUP(C13,'Points Lookup'!J:K,2,0)</f>
        <v>73092</v>
      </c>
      <c r="E13" s="28"/>
    </row>
    <row r="14" spans="2:9" ht="24" customHeight="1" x14ac:dyDescent="0.2">
      <c r="B14" s="304"/>
      <c r="C14" s="31">
        <v>4</v>
      </c>
      <c r="D14" s="103">
        <f>VLOOKUP(C14,'Points Lookup'!J:K,2,0)</f>
        <v>75285</v>
      </c>
      <c r="E14" s="28"/>
    </row>
    <row r="15" spans="2:9" ht="24" customHeight="1" x14ac:dyDescent="0.2">
      <c r="B15" s="304"/>
      <c r="C15" s="31">
        <v>5</v>
      </c>
      <c r="D15" s="103">
        <f>VLOOKUP(C15,'Points Lookup'!J:K,2,0)</f>
        <v>77543</v>
      </c>
      <c r="E15" s="28"/>
    </row>
    <row r="16" spans="2:9" ht="24" customHeight="1" x14ac:dyDescent="0.2">
      <c r="B16" s="304"/>
      <c r="C16" s="61">
        <v>6</v>
      </c>
      <c r="D16" s="105">
        <f>VLOOKUP(C16,'Points Lookup'!J:K,2,0)</f>
        <v>79870</v>
      </c>
      <c r="E16" s="238" t="s">
        <v>42</v>
      </c>
      <c r="F16" s="239"/>
    </row>
    <row r="17" spans="2:9" ht="24" customHeight="1" x14ac:dyDescent="0.2">
      <c r="B17" s="304" t="s">
        <v>43</v>
      </c>
      <c r="C17" s="31">
        <v>7</v>
      </c>
      <c r="D17" s="103">
        <f>VLOOKUP(C17,'Points Lookup'!J:K,2,0)</f>
        <v>82266</v>
      </c>
      <c r="E17" s="46"/>
      <c r="F17" s="46"/>
    </row>
    <row r="18" spans="2:9" ht="24" customHeight="1" x14ac:dyDescent="0.2">
      <c r="B18" s="304"/>
      <c r="C18" s="31">
        <v>8</v>
      </c>
      <c r="D18" s="103">
        <f>VLOOKUP(C18,'Points Lookup'!J:K,2,0)</f>
        <v>84734</v>
      </c>
      <c r="E18" s="46"/>
      <c r="F18" s="46"/>
    </row>
    <row r="19" spans="2:9" ht="24" customHeight="1" x14ac:dyDescent="0.2">
      <c r="B19" s="304"/>
      <c r="C19" s="31">
        <v>9</v>
      </c>
      <c r="D19" s="103">
        <f>VLOOKUP(C19,'Points Lookup'!J:K,2,0)</f>
        <v>87275</v>
      </c>
      <c r="E19" s="46"/>
      <c r="F19" s="46"/>
    </row>
    <row r="20" spans="2:9" ht="24" customHeight="1" x14ac:dyDescent="0.2">
      <c r="B20" s="304"/>
      <c r="C20" s="31">
        <v>10</v>
      </c>
      <c r="D20" s="103">
        <f>VLOOKUP(C20,'Points Lookup'!J:K,2,0)</f>
        <v>89894</v>
      </c>
      <c r="E20" s="46"/>
      <c r="F20" s="46"/>
    </row>
    <row r="21" spans="2:9" ht="24" customHeight="1" x14ac:dyDescent="0.2">
      <c r="B21" s="304"/>
      <c r="C21" s="31">
        <v>11</v>
      </c>
      <c r="D21" s="103">
        <f>VLOOKUP(C21,'Points Lookup'!J:K,2,0)</f>
        <v>92591</v>
      </c>
      <c r="E21" s="46"/>
      <c r="F21" s="46"/>
    </row>
    <row r="22" spans="2:9" ht="24" customHeight="1" x14ac:dyDescent="0.2">
      <c r="B22" s="304"/>
      <c r="C22" s="61">
        <v>12</v>
      </c>
      <c r="D22" s="105">
        <f>VLOOKUP(C22,'Points Lookup'!J:K,2,0)</f>
        <v>95368</v>
      </c>
      <c r="E22" s="238" t="s">
        <v>44</v>
      </c>
      <c r="F22" s="239"/>
    </row>
    <row r="23" spans="2:9" ht="24" customHeight="1" x14ac:dyDescent="0.2">
      <c r="B23" s="304" t="s">
        <v>45</v>
      </c>
      <c r="C23" s="31">
        <v>13</v>
      </c>
      <c r="D23" s="103">
        <f>VLOOKUP(C23,'Points Lookup'!J:K,2,0)</f>
        <v>98230</v>
      </c>
      <c r="E23" s="46"/>
      <c r="F23" s="46"/>
    </row>
    <row r="24" spans="2:9" ht="24" customHeight="1" x14ac:dyDescent="0.2">
      <c r="B24" s="304"/>
      <c r="C24" s="31">
        <v>14</v>
      </c>
      <c r="D24" s="103">
        <f>VLOOKUP(C24,'Points Lookup'!J:K,2,0)</f>
        <v>101177</v>
      </c>
      <c r="E24" s="46"/>
      <c r="F24" s="46"/>
    </row>
    <row r="25" spans="2:9" ht="24" customHeight="1" x14ac:dyDescent="0.2">
      <c r="B25" s="304"/>
      <c r="C25" s="31">
        <v>15</v>
      </c>
      <c r="D25" s="103">
        <f>VLOOKUP(C25,'Points Lookup'!J:K,2,0)</f>
        <v>104212</v>
      </c>
      <c r="E25" s="46"/>
      <c r="F25" s="46"/>
    </row>
    <row r="26" spans="2:9" ht="24" customHeight="1" x14ac:dyDescent="0.2">
      <c r="B26" s="304"/>
      <c r="C26" s="32">
        <v>16</v>
      </c>
      <c r="D26" s="104">
        <f>VLOOKUP(C26,'Points Lookup'!J:K,2,0)</f>
        <v>107338</v>
      </c>
      <c r="E26" s="46"/>
      <c r="F26" s="46"/>
    </row>
    <row r="27" spans="2:9" ht="24" customHeight="1" x14ac:dyDescent="0.2">
      <c r="B27" s="304"/>
      <c r="C27" s="31">
        <v>17</v>
      </c>
      <c r="D27" s="103">
        <f>VLOOKUP(C27,'Points Lookup'!J:K,2,0)</f>
        <v>110559</v>
      </c>
      <c r="E27" s="46"/>
      <c r="F27" s="46"/>
    </row>
    <row r="28" spans="2:9" ht="24" customHeight="1" x14ac:dyDescent="0.2">
      <c r="B28" s="304"/>
      <c r="C28" s="33">
        <v>18</v>
      </c>
      <c r="D28" s="106">
        <f>VLOOKUP(C28,'Points Lookup'!J:K,2,0)</f>
        <v>113876</v>
      </c>
      <c r="E28" s="46"/>
      <c r="F28" s="46"/>
    </row>
    <row r="29" spans="2:9" ht="24" customHeight="1" x14ac:dyDescent="0.2">
      <c r="B29" s="304"/>
      <c r="C29" s="61">
        <v>19</v>
      </c>
      <c r="D29" s="105">
        <f>VLOOKUP(C29,'Points Lookup'!J:K,2,0)</f>
        <v>117291</v>
      </c>
      <c r="E29" s="238" t="s">
        <v>46</v>
      </c>
      <c r="F29" s="239"/>
    </row>
    <row r="30" spans="2:9" ht="24" customHeight="1" x14ac:dyDescent="0.2">
      <c r="B30" s="237" t="s">
        <v>47</v>
      </c>
      <c r="C30" s="31">
        <v>20</v>
      </c>
      <c r="D30" s="103">
        <f>VLOOKUP(C30,'Points Lookup'!J:K,2,0)</f>
        <v>120810</v>
      </c>
      <c r="E30" s="240" t="s">
        <v>48</v>
      </c>
      <c r="F30" s="241"/>
    </row>
    <row r="31" spans="2:9" ht="28.5" customHeight="1" x14ac:dyDescent="0.2"/>
    <row r="32" spans="2:9" ht="46.5" customHeight="1" x14ac:dyDescent="0.2">
      <c r="B32" s="298" t="str">
        <f>"Effective date of pay award: "&amp;TEXT('Notes &amp; Guidance'!$C$9,"D MMMM YYYY")</f>
        <v>Effective date of pay award: 1 February 2023</v>
      </c>
      <c r="C32" s="298"/>
      <c r="D32" s="298"/>
      <c r="E32" s="298"/>
      <c r="F32" s="298"/>
      <c r="G32" s="298"/>
      <c r="H32" s="298"/>
      <c r="I32" s="298"/>
    </row>
    <row r="33" spans="2:9" ht="15" x14ac:dyDescent="0.2">
      <c r="B33" s="197"/>
      <c r="C33" s="197"/>
      <c r="D33" s="197"/>
      <c r="E33" s="197"/>
      <c r="F33" s="197"/>
      <c r="G33" s="197"/>
      <c r="H33" s="197"/>
      <c r="I33" s="197"/>
    </row>
    <row r="34" spans="2:9" ht="23.25" customHeight="1" x14ac:dyDescent="0.2">
      <c r="B34" s="298" t="str">
        <f>"Document version: "&amp;'Notes &amp; Guidance'!$A$4</f>
        <v>Document version: 2023.1</v>
      </c>
      <c r="C34" s="298"/>
      <c r="D34" s="298"/>
      <c r="E34" s="298"/>
      <c r="F34" s="298"/>
      <c r="G34" s="298"/>
      <c r="H34" s="298"/>
      <c r="I34" s="298"/>
    </row>
  </sheetData>
  <sheetProtection algorithmName="SHA-512" hashValue="S0gZxLSdNOcMZZqKM/caUimFlHYzfmsQN61u4OM2Wly9DVabPnlECgEsJt5vOCCkTm9Qu4udzvcPWLr5H7IEag==" saltValue="vcS+F5smm1deM5s3+SojCg==" spinCount="100000" sheet="1" objects="1" scenarios="1"/>
  <mergeCells count="9">
    <mergeCell ref="B32:I32"/>
    <mergeCell ref="B34:I34"/>
    <mergeCell ref="B17:B22"/>
    <mergeCell ref="B23:B29"/>
    <mergeCell ref="B1:I1"/>
    <mergeCell ref="B3:I3"/>
    <mergeCell ref="B11:B16"/>
    <mergeCell ref="B5:I5"/>
    <mergeCell ref="B7:I7"/>
  </mergeCells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A7D8-7139-4842-B457-967BA077B438}">
  <sheetPr>
    <pageSetUpPr fitToPage="1"/>
  </sheetPr>
  <dimension ref="B1:T45"/>
  <sheetViews>
    <sheetView showGridLines="0" zoomScaleNormal="100" workbookViewId="0">
      <selection activeCell="N5" sqref="N5"/>
    </sheetView>
  </sheetViews>
  <sheetFormatPr defaultColWidth="9.140625" defaultRowHeight="13.5" x14ac:dyDescent="0.2"/>
  <cols>
    <col min="1" max="1" width="6.7109375" style="28" customWidth="1"/>
    <col min="2" max="2" width="11.140625" style="28" customWidth="1"/>
    <col min="3" max="4" width="30.7109375" style="28" customWidth="1"/>
    <col min="5" max="5" width="10.7109375" style="28" customWidth="1"/>
    <col min="6" max="16384" width="9.140625" style="28"/>
  </cols>
  <sheetData>
    <row r="1" spans="2:5" ht="39.950000000000003" customHeight="1" x14ac:dyDescent="0.2">
      <c r="B1" s="299" t="s">
        <v>253</v>
      </c>
      <c r="C1" s="300"/>
      <c r="D1" s="300"/>
      <c r="E1" s="301"/>
    </row>
    <row r="2" spans="2:5" ht="14.25" x14ac:dyDescent="0.2">
      <c r="B2" s="29"/>
      <c r="C2" s="30"/>
      <c r="D2" s="29"/>
      <c r="E2" s="29"/>
    </row>
    <row r="3" spans="2:5" ht="30" x14ac:dyDescent="0.2">
      <c r="B3" s="91" t="s">
        <v>244</v>
      </c>
      <c r="C3" s="91"/>
      <c r="D3" s="91"/>
      <c r="E3" s="91"/>
    </row>
    <row r="4" spans="2:5" ht="14.25" x14ac:dyDescent="0.2">
      <c r="B4" s="29"/>
      <c r="C4" s="30"/>
      <c r="D4" s="29"/>
      <c r="E4" s="29"/>
    </row>
    <row r="5" spans="2:5" ht="35.1" customHeight="1" x14ac:dyDescent="0.2">
      <c r="B5" s="302" t="s">
        <v>259</v>
      </c>
      <c r="C5" s="302"/>
      <c r="D5" s="302"/>
      <c r="E5" s="302"/>
    </row>
    <row r="6" spans="2:5" ht="35.1" customHeight="1" x14ac:dyDescent="0.2"/>
    <row r="7" spans="2:5" ht="18" customHeight="1" x14ac:dyDescent="0.25">
      <c r="B7" s="303" t="s">
        <v>252</v>
      </c>
      <c r="C7" s="303"/>
      <c r="D7" s="303"/>
      <c r="E7" s="303"/>
    </row>
    <row r="9" spans="2:5" ht="35.1" customHeight="1" x14ac:dyDescent="0.2">
      <c r="B9" s="62" t="s">
        <v>258</v>
      </c>
      <c r="C9" s="63" t="s">
        <v>4</v>
      </c>
      <c r="D9" s="63" t="s">
        <v>246</v>
      </c>
    </row>
    <row r="10" spans="2:5" s="46" customFormat="1" ht="30" customHeight="1" x14ac:dyDescent="0.25">
      <c r="B10" s="31">
        <v>1</v>
      </c>
      <c r="C10" s="103">
        <f>VLOOKUP(B10,'Points Lookup'!M:N,2,0)</f>
        <v>29384</v>
      </c>
      <c r="D10" s="233" t="s">
        <v>247</v>
      </c>
    </row>
    <row r="11" spans="2:5" s="46" customFormat="1" ht="30" customHeight="1" x14ac:dyDescent="0.25">
      <c r="B11" s="31">
        <v>2</v>
      </c>
      <c r="C11" s="103">
        <f>VLOOKUP(B11,'Points Lookup'!M:N,2,0)</f>
        <v>34012</v>
      </c>
      <c r="D11" s="233" t="s">
        <v>248</v>
      </c>
    </row>
    <row r="12" spans="2:5" s="46" customFormat="1" ht="35.1" customHeight="1" x14ac:dyDescent="0.25">
      <c r="B12" s="31">
        <v>3</v>
      </c>
      <c r="C12" s="103">
        <f>VLOOKUP(B12,'Points Lookup'!M:N,2,0)</f>
        <v>40257</v>
      </c>
      <c r="D12" s="234" t="s">
        <v>250</v>
      </c>
    </row>
    <row r="13" spans="2:5" s="46" customFormat="1" ht="50.1" customHeight="1" x14ac:dyDescent="0.25">
      <c r="B13" s="31">
        <v>4</v>
      </c>
      <c r="C13" s="103">
        <f>VLOOKUP(B13,'Points Lookup'!M:N,2,0)</f>
        <v>51017</v>
      </c>
      <c r="D13" s="234" t="s">
        <v>249</v>
      </c>
    </row>
    <row r="14" spans="2:5" s="46" customFormat="1" ht="50.1" customHeight="1" x14ac:dyDescent="0.25">
      <c r="B14" s="31">
        <v>5</v>
      </c>
      <c r="C14" s="103">
        <f>VLOOKUP(B14,'Points Lookup'!M:N,2,0)</f>
        <v>58398</v>
      </c>
      <c r="D14" s="234" t="s">
        <v>251</v>
      </c>
    </row>
    <row r="15" spans="2:5" s="46" customFormat="1" ht="35.1" customHeight="1" x14ac:dyDescent="0.25"/>
    <row r="16" spans="2:5" s="46" customFormat="1" ht="24" customHeight="1" x14ac:dyDescent="0.25">
      <c r="B16" s="303" t="s">
        <v>245</v>
      </c>
      <c r="C16" s="303"/>
      <c r="D16" s="303"/>
      <c r="E16" s="303"/>
    </row>
    <row r="17" spans="2:5" s="46" customFormat="1" ht="24" customHeight="1" x14ac:dyDescent="0.25"/>
    <row r="18" spans="2:5" s="46" customFormat="1" ht="35.1" customHeight="1" x14ac:dyDescent="0.25">
      <c r="B18" s="62" t="s">
        <v>39</v>
      </c>
      <c r="C18" s="63" t="s">
        <v>4</v>
      </c>
    </row>
    <row r="19" spans="2:5" s="46" customFormat="1" ht="24" customHeight="1" x14ac:dyDescent="0.25">
      <c r="B19" s="31">
        <v>1</v>
      </c>
      <c r="C19" s="103">
        <f>VLOOKUP(B19,'Points Lookup'!P:Q,2,0)</f>
        <v>35254</v>
      </c>
    </row>
    <row r="20" spans="2:5" s="46" customFormat="1" ht="24" customHeight="1" x14ac:dyDescent="0.25">
      <c r="B20" s="31">
        <v>2</v>
      </c>
      <c r="C20" s="103">
        <f>VLOOKUP(B20,'Points Lookup'!P:Q,2,0)</f>
        <v>37000</v>
      </c>
    </row>
    <row r="21" spans="2:5" s="46" customFormat="1" ht="24" customHeight="1" x14ac:dyDescent="0.25">
      <c r="B21" s="31">
        <v>3</v>
      </c>
      <c r="C21" s="103">
        <f>VLOOKUP(B21,'Points Lookup'!P:Q,2,0)</f>
        <v>38746</v>
      </c>
    </row>
    <row r="22" spans="2:5" s="46" customFormat="1" ht="24" customHeight="1" x14ac:dyDescent="0.25">
      <c r="B22" s="31">
        <v>4</v>
      </c>
      <c r="C22" s="103">
        <f>VLOOKUP(B22,'Points Lookup'!P:Q,2,0)</f>
        <v>40492</v>
      </c>
    </row>
    <row r="23" spans="2:5" s="46" customFormat="1" ht="24" customHeight="1" x14ac:dyDescent="0.25">
      <c r="B23" s="31">
        <v>5</v>
      </c>
      <c r="C23" s="103">
        <f>VLOOKUP(B23,'Points Lookup'!P:Q,2,0)</f>
        <v>42598</v>
      </c>
    </row>
    <row r="24" spans="2:5" s="46" customFormat="1" ht="24" customHeight="1" x14ac:dyDescent="0.25">
      <c r="B24" s="31">
        <v>6</v>
      </c>
      <c r="C24" s="103">
        <f>VLOOKUP(B24,'Points Lookup'!P:Q,2,0)</f>
        <v>44705</v>
      </c>
    </row>
    <row r="25" spans="2:5" s="46" customFormat="1" ht="24" customHeight="1" x14ac:dyDescent="0.25">
      <c r="B25" s="31">
        <v>7</v>
      </c>
      <c r="C25" s="103">
        <f>VLOOKUP(B25,'Points Lookup'!P:Q,2,0)</f>
        <v>46812</v>
      </c>
    </row>
    <row r="26" spans="2:5" s="46" customFormat="1" ht="24" customHeight="1" x14ac:dyDescent="0.25">
      <c r="B26" s="31">
        <v>8</v>
      </c>
      <c r="C26" s="103">
        <f>VLOOKUP(B26,'Points Lookup'!P:Q,2,0)</f>
        <v>48918</v>
      </c>
    </row>
    <row r="27" spans="2:5" s="46" customFormat="1" ht="24" customHeight="1" x14ac:dyDescent="0.25">
      <c r="B27" s="31">
        <v>9</v>
      </c>
      <c r="C27" s="103">
        <f>VLOOKUP(B27,'Points Lookup'!P:Q,2,0)</f>
        <v>51025</v>
      </c>
    </row>
    <row r="28" spans="2:5" s="46" customFormat="1" ht="24" customHeight="1" x14ac:dyDescent="0.25">
      <c r="B28" s="31">
        <v>10</v>
      </c>
      <c r="C28" s="103">
        <f>VLOOKUP(B28,'Points Lookup'!P:Q,2,0)</f>
        <v>56502</v>
      </c>
    </row>
    <row r="29" spans="2:5" s="46" customFormat="1" ht="24" customHeight="1" x14ac:dyDescent="0.25">
      <c r="B29" s="31">
        <v>11</v>
      </c>
      <c r="C29" s="103">
        <f>VLOOKUP(B29,'Points Lookup'!P:Q,2,0)</f>
        <v>61042</v>
      </c>
    </row>
    <row r="30" spans="2:5" s="46" customFormat="1" ht="35.1" customHeight="1" x14ac:dyDescent="0.25"/>
    <row r="31" spans="2:5" s="46" customFormat="1" ht="24" customHeight="1" x14ac:dyDescent="0.25">
      <c r="B31" s="303" t="s">
        <v>254</v>
      </c>
      <c r="C31" s="303"/>
      <c r="D31" s="303"/>
      <c r="E31" s="303"/>
    </row>
    <row r="32" spans="2:5" s="46" customFormat="1" ht="24" customHeight="1" x14ac:dyDescent="0.25"/>
    <row r="33" spans="2:20" s="46" customFormat="1" ht="35.1" customHeight="1" x14ac:dyDescent="0.25">
      <c r="B33" s="62" t="s">
        <v>257</v>
      </c>
      <c r="C33" s="63" t="s">
        <v>256</v>
      </c>
      <c r="D33" s="63" t="s">
        <v>255</v>
      </c>
    </row>
    <row r="34" spans="2:20" s="46" customFormat="1" ht="24" customHeight="1" x14ac:dyDescent="0.25">
      <c r="B34" s="31">
        <v>1</v>
      </c>
      <c r="C34" s="103">
        <f>VLOOKUP(B34,'Points Lookup'!S:T,2,0)</f>
        <v>88364</v>
      </c>
      <c r="D34" s="103">
        <f>IFERROR(VLOOKUP(B34+18,'Points Lookup'!P:Q,2,0),"-")</f>
        <v>73367</v>
      </c>
    </row>
    <row r="35" spans="2:20" s="46" customFormat="1" ht="24" customHeight="1" x14ac:dyDescent="0.25">
      <c r="B35" s="31">
        <v>2</v>
      </c>
      <c r="C35" s="103">
        <f>VLOOKUP(B35,'Points Lookup'!S:T,2,0)</f>
        <v>91131</v>
      </c>
      <c r="D35" s="103">
        <f>IFERROR(VLOOKUP(B35+18,'Points Lookup'!P:Q,2,0),"-")</f>
        <v>78617</v>
      </c>
    </row>
    <row r="36" spans="2:20" s="46" customFormat="1" ht="24" customHeight="1" x14ac:dyDescent="0.25">
      <c r="B36" s="32">
        <v>3</v>
      </c>
      <c r="C36" s="103">
        <f>VLOOKUP(B36,'Points Lookup'!S:T,2,0)</f>
        <v>93898</v>
      </c>
      <c r="D36" s="103">
        <f>IFERROR(VLOOKUP(B36+18,'Points Lookup'!P:Q,2,0),"-")</f>
        <v>83868</v>
      </c>
    </row>
    <row r="37" spans="2:20" s="46" customFormat="1" ht="24" customHeight="1" x14ac:dyDescent="0.25">
      <c r="B37" s="31">
        <v>4</v>
      </c>
      <c r="C37" s="103">
        <f>VLOOKUP(B37,'Points Lookup'!S:T,2,0)</f>
        <v>96665</v>
      </c>
      <c r="D37" s="103">
        <f>IFERROR(VLOOKUP(B37+18,'Points Lookup'!P:Q,2,0),"-")</f>
        <v>89117</v>
      </c>
    </row>
    <row r="38" spans="2:20" s="46" customFormat="1" ht="24" customHeight="1" x14ac:dyDescent="0.25">
      <c r="B38" s="33">
        <v>5</v>
      </c>
      <c r="C38" s="103">
        <f>VLOOKUP(B38,'Points Lookup'!S:T,2,0)</f>
        <v>99425</v>
      </c>
      <c r="D38" s="103">
        <f>IFERROR(VLOOKUP(B38+18,'Points Lookup'!P:Q,2,0),"-")</f>
        <v>95104</v>
      </c>
    </row>
    <row r="39" spans="2:20" s="46" customFormat="1" ht="24" customHeight="1" x14ac:dyDescent="0.25">
      <c r="B39" s="33">
        <v>6</v>
      </c>
      <c r="C39" s="103">
        <f>VLOOKUP(B39,'Points Lookup'!S:T,2,0)</f>
        <v>105996</v>
      </c>
      <c r="D39" s="103" t="str">
        <f>IFERROR(VLOOKUP(B39+18,'Points Lookup'!P:Q,2,0),"-")</f>
        <v>-</v>
      </c>
    </row>
    <row r="40" spans="2:20" s="46" customFormat="1" ht="24" customHeight="1" x14ac:dyDescent="0.25">
      <c r="B40" s="33">
        <v>7</v>
      </c>
      <c r="C40" s="103">
        <f>VLOOKUP(B40,'Points Lookup'!S:T,2,0)</f>
        <v>112569</v>
      </c>
      <c r="D40" s="103" t="str">
        <f>IFERROR(VLOOKUP(B40+18,'Points Lookup'!P:Q,2,0),"-")</f>
        <v>-</v>
      </c>
    </row>
    <row r="41" spans="2:20" s="46" customFormat="1" ht="24" customHeight="1" x14ac:dyDescent="0.25">
      <c r="B41" s="31">
        <v>8</v>
      </c>
      <c r="C41" s="103">
        <f>VLOOKUP(B41,'Points Lookup'!S:T,2,0)</f>
        <v>119133</v>
      </c>
      <c r="D41" s="103" t="str">
        <f>IFERROR(VLOOKUP(B41+18,'Points Lookup'!P:Q,2,0),"-")</f>
        <v>-</v>
      </c>
    </row>
    <row r="43" spans="2:20" ht="78" customHeight="1" x14ac:dyDescent="0.2">
      <c r="B43" s="298" t="str">
        <f>_xlfn.CONCAT("Effective date of pay award: ",
IF('Notes &amp; Guidance'!$C$13='Notes &amp; Guidance'!$C$14,
TEXT('Notes &amp; Guidance'!$C$13,"D MMMM YYYY"),
TEXT('Notes &amp; Guidance'!$C$13,"D MMMM YYYY")&amp;" ("&amp;'Notes &amp; Guidance'!$B$13&amp;"), "&amp;TEXT('Notes &amp; Guidance'!$C$14,"D MMMM YYYY")&amp;" ("&amp;'Notes &amp; Guidance'!$B$14&amp;")"))</f>
        <v>Effective date of pay award: 1 April 2022</v>
      </c>
      <c r="C43" s="298"/>
      <c r="D43" s="298"/>
      <c r="E43" s="298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</row>
    <row r="44" spans="2:20" ht="15" x14ac:dyDescent="0.2">
      <c r="B44" s="197"/>
      <c r="C44" s="197"/>
      <c r="D44" s="197"/>
      <c r="E44" s="197"/>
    </row>
    <row r="45" spans="2:20" ht="23.25" customHeight="1" x14ac:dyDescent="0.2">
      <c r="B45" s="298" t="str">
        <f>"Document version: "&amp;'Notes &amp; Guidance'!$A$4</f>
        <v>Document version: 2023.1</v>
      </c>
      <c r="C45" s="298"/>
      <c r="D45" s="298"/>
      <c r="E45" s="298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</row>
  </sheetData>
  <sheetProtection algorithmName="SHA-512" hashValue="XiGg//aIW0OE3QX+Tq9JQei25HzCtB2sJHjh33Ez6nsxFB1fikTeFs85wdYQZtKBmYXAkY8crXlN8o3NiWNOrg==" saltValue="YN/2on5aHYww9sHhYgAdVg==" spinCount="100000" sheet="1" objects="1" scenarios="1"/>
  <mergeCells count="7">
    <mergeCell ref="B31:E31"/>
    <mergeCell ref="B43:E43"/>
    <mergeCell ref="B45:E45"/>
    <mergeCell ref="B1:E1"/>
    <mergeCell ref="B5:E5"/>
    <mergeCell ref="B7:E7"/>
    <mergeCell ref="B16:E16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302"/>
  <sheetViews>
    <sheetView showGridLines="0" zoomScaleNormal="100" zoomScaleSheetLayoutView="85" zoomScalePageLayoutView="55" workbookViewId="0">
      <selection activeCell="C6" sqref="C6:D6"/>
    </sheetView>
  </sheetViews>
  <sheetFormatPr defaultColWidth="9.140625" defaultRowHeight="18" x14ac:dyDescent="0.25"/>
  <cols>
    <col min="1" max="1" width="2.140625" style="30" customWidth="1"/>
    <col min="2" max="2" width="11.42578125" style="161" hidden="1" customWidth="1"/>
    <col min="3" max="3" width="16.7109375" style="30" customWidth="1"/>
    <col min="4" max="4" width="32.7109375" style="30" customWidth="1"/>
    <col min="5" max="5" width="3.7109375" style="30" customWidth="1"/>
    <col min="6" max="9" width="15.5703125" style="30" customWidth="1"/>
    <col min="10" max="10" width="21.28515625" style="30" customWidth="1"/>
    <col min="11" max="11" width="15.5703125" style="30" customWidth="1"/>
    <col min="12" max="12" width="4.85546875" style="30" customWidth="1"/>
    <col min="13" max="16" width="13.140625" style="30" customWidth="1"/>
    <col min="17" max="17" width="19.140625" style="30" customWidth="1"/>
    <col min="18" max="18" width="5.42578125" style="30" customWidth="1"/>
    <col min="19" max="20" width="15.7109375" style="50" customWidth="1"/>
    <col min="21" max="21" width="21" style="50" customWidth="1"/>
    <col min="22" max="22" width="26.28515625" style="50" customWidth="1"/>
    <col min="23" max="25" width="9.140625" style="156" customWidth="1"/>
    <col min="26" max="31" width="6.140625" style="156" customWidth="1"/>
    <col min="32" max="40" width="9.140625" style="156" customWidth="1"/>
    <col min="41" max="16384" width="9.140625" style="156"/>
  </cols>
  <sheetData>
    <row r="1" spans="2:32" ht="11.25" customHeight="1" x14ac:dyDescent="0.25">
      <c r="B1" s="156"/>
      <c r="C1" s="202"/>
      <c r="D1" s="29"/>
      <c r="S1" s="154"/>
      <c r="T1" s="154"/>
      <c r="U1" s="154"/>
      <c r="V1" s="154"/>
      <c r="W1" s="155"/>
      <c r="X1" s="155"/>
      <c r="Y1" s="155"/>
    </row>
    <row r="2" spans="2:32" ht="37.5" customHeight="1" x14ac:dyDescent="0.25">
      <c r="B2" s="156"/>
      <c r="C2" s="308" t="str">
        <f>_xlfn.CONCAT("Effective date(s) of pay award: ",
IF(MAX('Notes &amp; Guidance'!$C$8:$C$11)=MIN('Notes &amp; Guidance'!$C$8:$C$11),TEXT('Notes &amp; Guidance'!$C$8,"D MMMM YYYY")&amp;" (main pay scale), ",
IF(AND('Notes &amp; Guidance'!$C$8='Notes &amp; Guidance'!$C$10,'Notes &amp; Guidance'!$C$9='Notes &amp; Guidance'!$C$11),TEXT('Notes &amp; Guidance'!$C$8,"D MMMM YYYY")&amp;" (L1-3 staff), "&amp;TEXT('Notes &amp; Guidance'!$C$9,"D MMMM YYYY")&amp;" (L4-7 staff), ",
IF(AND('Notes &amp; Guidance'!$C$8='Notes &amp; Guidance'!$C$10,'Notes &amp; Guidance'!$C$8='Notes &amp; Guidance'!$C$11),TEXT('Notes &amp; Guidance'!$C$9,"D MMMM YYYY")&amp;" ("&amp;'Notes &amp; Guidance'!$B$9&amp;"), "&amp;TEXT('Notes &amp; Guidance'!$C$8, "D MMMM YYYY")&amp;" (Unison and Unite represented staff groups: "&amp;'Notes &amp; Guidance'!$B$8&amp;", "&amp;'Notes &amp; Guidance'!$B$10&amp;", "&amp;'Notes &amp; Guidance'!$B$11&amp;"), ",
IF('Notes &amp; Guidance'!$C$10='Notes &amp; Guidance'!$C$11,TEXT('Notes &amp; Guidance'!$C$9,"D MMMM YYYY")&amp;" ("&amp;'Notes &amp; Guidance'!$B$9&amp;"), "&amp;TEXT('Notes &amp; Guidance'!$C$8,"D MMMM YYYY")&amp;" ("&amp;'Notes &amp; Guidance'!$B$8&amp;"), "&amp;TEXT('Notes &amp; Guidance'!$C$10,"D MMMM YYYY")&amp;" (all TS staff), ",
TEXT('Notes &amp; Guidance'!$C$9,"D MMMM YYYY")&amp;" ("&amp;'Notes &amp; Guidance'!$B$9&amp;"), "&amp;TEXT('Notes &amp; Guidance'!$C$8,"D MMMM YYYY")&amp;" ("&amp;'Notes &amp; Guidance'!$B$8&amp;"), "&amp;TEXT('Notes &amp; Guidance'!$C$10,"D MMMM YYYY")&amp;" ("&amp;'Notes &amp; Guidance'!$B$10&amp;"), "&amp;TEXT('Notes &amp; Guidance'!$C$11,"D MMMM YYYY")&amp;" ("&amp;'Notes &amp; Guidance'!$B$11&amp;"), ")))),
IF('Notes &amp; Guidance'!$C$13='Notes &amp; Guidance'!$C$14,TEXT('Notes &amp; Guidance'!$C$13,"DD MMMM YYYY")&amp;" (Clinical staff)",TEXT('Notes &amp; Guidance'!$C$13,"D MMMM YYYY")&amp;" ("&amp;'Notes &amp; Guidance'!$B$13&amp;"), "&amp;TEXT('Notes &amp; Guidance'!$C$14,"D MMMM YYYY")&amp;" ("&amp;'Notes &amp; Guidance'!$B$14&amp;")"),".")</f>
        <v>Effective date(s) of pay award: 1 August 2022 (L1-3 staff), 1 February 2023 (L4-7 staff), 01 April 2022 (Clinical staff).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S2" s="158"/>
      <c r="T2" s="159"/>
      <c r="U2" s="158"/>
      <c r="V2" s="159"/>
    </row>
    <row r="3" spans="2:32" ht="35.1" customHeight="1" x14ac:dyDescent="0.25">
      <c r="B3" s="156"/>
      <c r="C3" s="309" t="str">
        <f>_xlfn.CONCAT("National Insurance: ",TEXT('Notes &amp; Guidance'!$C$12,"YYYY"),"-",YEAR('Notes &amp; Guidance'!$C$12)+1," tax year")</f>
        <v>National Insurance: 2023-2024 tax year</v>
      </c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S3" s="158"/>
      <c r="T3" s="159"/>
      <c r="U3" s="158"/>
      <c r="V3" s="159"/>
    </row>
    <row r="4" spans="2:32" ht="35.1" customHeight="1" x14ac:dyDescent="0.25">
      <c r="B4" s="156"/>
      <c r="C4" s="309" t="str">
        <f>"Document version: "&amp;'Notes &amp; Guidance'!$A$4</f>
        <v>Document version: 2023.1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S4" s="158"/>
      <c r="T4" s="159"/>
      <c r="U4" s="158"/>
      <c r="V4" s="159"/>
    </row>
    <row r="5" spans="2:32" ht="11.25" customHeight="1" x14ac:dyDescent="0.25">
      <c r="B5" s="156"/>
      <c r="C5" s="51"/>
      <c r="D5" s="45"/>
      <c r="S5" s="154"/>
      <c r="T5" s="154"/>
      <c r="U5" s="154"/>
      <c r="V5" s="154"/>
    </row>
    <row r="6" spans="2:32" ht="61.5" customHeight="1" x14ac:dyDescent="0.25">
      <c r="B6" s="156"/>
      <c r="C6" s="315" t="s">
        <v>123</v>
      </c>
      <c r="D6" s="316"/>
      <c r="F6" s="318" t="str">
        <f>IF(Thresholds_Rates!C12&lt;&gt;0,"Standard Maximum spine point is highlighted in table below","")</f>
        <v/>
      </c>
      <c r="G6" s="318"/>
      <c r="H6" s="318"/>
      <c r="I6" s="318"/>
      <c r="J6" s="318"/>
      <c r="K6" s="318"/>
      <c r="L6" s="52"/>
      <c r="S6" s="154"/>
      <c r="T6" s="154"/>
      <c r="U6" s="203"/>
      <c r="V6" s="154"/>
      <c r="AF6" s="160"/>
    </row>
    <row r="7" spans="2:32" ht="10.5" customHeight="1" x14ac:dyDescent="0.25">
      <c r="B7" s="156"/>
      <c r="C7" s="53"/>
      <c r="D7" s="52"/>
      <c r="E7" s="52"/>
      <c r="G7" s="52"/>
      <c r="H7" s="52"/>
      <c r="I7" s="52"/>
      <c r="J7" s="52"/>
      <c r="K7" s="52"/>
      <c r="L7" s="52"/>
      <c r="S7" s="154"/>
      <c r="T7" s="154"/>
      <c r="U7" s="154"/>
      <c r="V7" s="154"/>
      <c r="AF7" s="160"/>
    </row>
    <row r="8" spans="2:32" ht="8.25" customHeight="1" x14ac:dyDescent="0.25">
      <c r="B8" s="156"/>
      <c r="C8" s="52"/>
      <c r="D8" s="52"/>
      <c r="E8" s="52"/>
      <c r="G8" s="52"/>
      <c r="H8" s="52"/>
      <c r="I8" s="52"/>
      <c r="J8" s="52"/>
      <c r="K8" s="52"/>
      <c r="L8" s="52"/>
      <c r="S8" s="154"/>
      <c r="T8" s="154"/>
      <c r="U8" s="154"/>
      <c r="V8" s="154"/>
      <c r="AF8" s="160"/>
    </row>
    <row r="9" spans="2:32" ht="166.5" customHeight="1" x14ac:dyDescent="0.25">
      <c r="B9" s="156"/>
      <c r="C9" s="317" t="str">
        <f>IF(ISBLANK(VLOOKUP($C$6,Grades!$A:$BZ,5,FALSE)),"",VLOOKUP($C$6,Grades!$A:$BZ,5,FALSE))</f>
        <v/>
      </c>
      <c r="D9" s="317"/>
      <c r="F9" s="312" t="s">
        <v>285</v>
      </c>
      <c r="G9" s="313"/>
      <c r="H9" s="313"/>
      <c r="I9" s="313"/>
      <c r="J9" s="313"/>
      <c r="K9" s="314"/>
      <c r="M9" s="311" t="s">
        <v>50</v>
      </c>
      <c r="N9" s="311"/>
      <c r="O9" s="311"/>
      <c r="P9" s="311"/>
      <c r="Q9" s="311"/>
      <c r="S9" s="310" t="str">
        <f>IF($D$10="Salary","","AVA Details")</f>
        <v/>
      </c>
      <c r="T9" s="310"/>
      <c r="U9" s="310" t="str">
        <f>IF($D$10="Salary","","Clinical Supplement
Can earn up to "&amp;MAX($U11:$U100)*100&amp;"%")</f>
        <v/>
      </c>
      <c r="V9" s="310"/>
      <c r="AF9" s="160"/>
    </row>
    <row r="10" spans="2:32" ht="57" customHeight="1" x14ac:dyDescent="0.25">
      <c r="B10" s="156"/>
      <c r="C10" s="54" t="s">
        <v>39</v>
      </c>
      <c r="D10" s="54" t="str">
        <f>IF(VLOOKUP($C$6,Grades!$A:$BX,67,0)=Thresholds_Rates!$J$12,"Salary + AVA
(for further details scroll right)","Salary")</f>
        <v>Salary</v>
      </c>
      <c r="E10" s="55"/>
      <c r="F10" s="56" t="s">
        <v>51</v>
      </c>
      <c r="G10" s="56" t="s">
        <v>52</v>
      </c>
      <c r="H10" s="56" t="s">
        <v>53</v>
      </c>
      <c r="I10" s="57" t="s">
        <v>54</v>
      </c>
      <c r="J10" s="57" t="s">
        <v>55</v>
      </c>
      <c r="K10" s="56" t="s">
        <v>56</v>
      </c>
      <c r="L10" s="52"/>
      <c r="M10" s="57" t="s">
        <v>57</v>
      </c>
      <c r="N10" s="57" t="s">
        <v>58</v>
      </c>
      <c r="O10" s="57" t="s">
        <v>59</v>
      </c>
      <c r="P10" s="57" t="s">
        <v>60</v>
      </c>
      <c r="Q10" s="57" t="s">
        <v>61</v>
      </c>
      <c r="S10" s="157" t="str">
        <f>IF($D$10="Salary","","AVA %")</f>
        <v/>
      </c>
      <c r="T10" s="157" t="str">
        <f>IF($D$10="Salary","","AVA Amount")</f>
        <v/>
      </c>
      <c r="U10" s="157" t="str">
        <f>IF($D$10="Salary","","Maximum Clinical Supplement %")</f>
        <v/>
      </c>
      <c r="V10" s="157" t="str">
        <f>IF($D$10="Salary","","Maximum Clinical Supplement Amount")</f>
        <v/>
      </c>
      <c r="W10" s="39"/>
    </row>
    <row r="11" spans="2:32" x14ac:dyDescent="0.25">
      <c r="B11" s="156">
        <v>1</v>
      </c>
      <c r="C11" s="50" t="str">
        <f ca="1">IFERROR(INDEX('Points Lookup'!$A:$A,MATCH($B11,'Points Lookup'!$AR:$AR,0)),"")</f>
        <v/>
      </c>
      <c r="D11" s="251" t="str">
        <f ca="1">IF(C11="","",SUMIF(INDIRECT("'Points Lookup'!"&amp;VLOOKUP($C$6,Grades!A:BZ,3,FALSE)&amp;":"&amp;VLOOKUP($C$6,Grades!A:BZ,3,FALSE)),C11,INDIRECT("'Points Lookup'!"&amp;VLOOKUP($C$6,Grades!A:BZ,4,FALSE)&amp;":"&amp;VLOOKUP($C$6,Grades!A:Z,4,FALSE))))</f>
        <v/>
      </c>
      <c r="E11" s="251"/>
      <c r="F11" s="251" t="str">
        <f ca="1">IF($C11="","",IF(SUMIF(Grades!$A:$A,$C$6,Grades!$BU:$BU)=0,"-",IF(AND(VLOOKUP($C$6,Grades!$A:$BZ,77,FALSE)="YES",C11&lt;Thresholds_Rates!$C$13),"-",$D11*Thresholds_Rates!$F$12)))</f>
        <v/>
      </c>
      <c r="G11" s="251" t="str">
        <f ca="1">IF(C11="","",IF(OR($C$6="Salary Points 3 to 57",$C$6="Salary Points 3 to 57 (post-pay award)"),"-",IF(SUMIF(Grades!$A:$A,$C$6,Grades!$BV:$BV)=0,"-",$D11*Thresholds_Rates!$F$13)))</f>
        <v/>
      </c>
      <c r="H11" s="251" t="str">
        <f ca="1">IF(C11="","",IF($C$6="Apprenticeship","-",IF(SUMIF(Grades!$A:$A,$C$6,Grades!$BW:$BW)=0,"-",IF(AND(VLOOKUP($C$6,Grades!$A:$BZ,77,FALSE)="YES",C11&gt;Thresholds_Rates!$C$14),"-",$D11*Thresholds_Rates!$F$14))))</f>
        <v/>
      </c>
      <c r="I11" s="251" t="str">
        <f ca="1">IF($C11="","",IF($D11=0,0,ROUND(($D11-(Thresholds_Rates!$C$4*12))*Thresholds_Rates!$C$7,0)))</f>
        <v/>
      </c>
      <c r="J11" s="251" t="str">
        <f ca="1">IF(C11="","",(D11*Thresholds_Rates!$C$9))</f>
        <v/>
      </c>
      <c r="K11" s="251" t="str">
        <f ca="1">IF(C11="","",IF(SUMIF(Grades!$A:$A,$C$6,Grades!$BX:$BX)=0,"-",IF(AND(VLOOKUP($C$6,Grades!$A:$BZ,77,FALSE)="YES",C11&gt;Thresholds_Rates!$C$14),"-",$D11*Thresholds_Rates!$F$15)))</f>
        <v/>
      </c>
      <c r="L11" s="251"/>
      <c r="M11" s="251" t="str">
        <f t="shared" ref="M11:M42" ca="1" si="0">IF(C11="","",IF(F11="-","-",$D11+$I11+F11+J11))</f>
        <v/>
      </c>
      <c r="N11" s="251" t="str">
        <f t="shared" ref="N11:N42" ca="1" si="1">IF(C11="","",IF(G11="-","-",$D11+$I11+G11+J11))</f>
        <v/>
      </c>
      <c r="O11" s="251" t="str">
        <f t="shared" ref="O11:O42" ca="1" si="2">IF(C11="","",IF(H11="-","-",$D11+$I11+H11+J11))</f>
        <v/>
      </c>
      <c r="P11" s="251" t="str">
        <f t="shared" ref="P11:P42" ca="1" si="3">IF(C11="","",IF(K11="-","-",$D11+$I11+K11+J11))</f>
        <v/>
      </c>
      <c r="Q11" s="251" t="str">
        <f t="shared" ref="Q11:Q42" ca="1" si="4">IF(C11="","",D11+I11+J11)</f>
        <v/>
      </c>
      <c r="R11" s="50"/>
      <c r="S11" s="158" t="str">
        <f ca="1">IF(OR($C11="",$D$10="Salary"),"",SUMIF(INDIRECT("'Points Lookup'!"&amp;VLOOKUP($C$6,Grades!$A:$BZ,3,FALSE)&amp;":"&amp;VLOOKUP($C$6,Grades!$A:$BZ,3,FALSE)),$C11,OFFSET(INDIRECT("'Points Lookup'!"&amp;VLOOKUP($C$6,Grades!$A:$BZ,3,FALSE)&amp;":"&amp;VLOOKUP($C$6,Grades!$A:$BZ,3,FALSE)),0,1)))</f>
        <v/>
      </c>
      <c r="T11" s="159" t="str">
        <f ca="1">IF(OR($C11="",$D$10="Salary"),"",$D11-SUMIF(INDIRECT("'Points Lookup'!"&amp;VLOOKUP($C$6,Grades!$A:$BZ,3,FALSE)&amp;":"&amp;VLOOKUP($C$6,Grades!$A:$BZ,3,FALSE)),$C11,OFFSET(INDIRECT("'Points Lookup'!"&amp;VLOOKUP($C$6,Grades!$A:$BZ,3,FALSE)&amp;":"&amp;VLOOKUP($C$6,Grades!$A:$BZ,3,FALSE)),0,2)))</f>
        <v/>
      </c>
      <c r="U11" s="158" t="str">
        <f ca="1">IF(OR($C11="",$D$10="Salary"),"",SUMIF(INDIRECT("'Points Lookup'!"&amp;VLOOKUP($C$6,Grades!$A:$BZ,3,FALSE)&amp;":"&amp;VLOOKUP($C$6,Grades!$A:$BZ,3,FALSE)),$C11,OFFSET(INDIRECT("'Points Lookup'!"&amp;VLOOKUP($C$6,Grades!$A:$BZ,3,FALSE)&amp;":"&amp;VLOOKUP($C$6,Grades!$A:$BZ,3,FALSE)),0,4)))</f>
        <v/>
      </c>
      <c r="V11" s="159" t="str">
        <f t="shared" ref="V11:V42" ca="1" si="5">IF(OR($C11="",$D$10="Salary"),"",ROUND(D11*U11,0))</f>
        <v/>
      </c>
    </row>
    <row r="12" spans="2:32" ht="18.75" customHeight="1" x14ac:dyDescent="0.25">
      <c r="B12" s="156">
        <v>2</v>
      </c>
      <c r="C12" s="50" t="str">
        <f ca="1">IFERROR(INDEX('Points Lookup'!$A:$A,MATCH($B12,'Points Lookup'!$AR:$AR,0)),"")</f>
        <v/>
      </c>
      <c r="D12" s="251" t="str">
        <f ca="1">IF(C12="","",SUMIF(INDIRECT("'Points Lookup'!"&amp;VLOOKUP($C$6,Grades!A:BZ,3,FALSE)&amp;":"&amp;VLOOKUP($C$6,Grades!A:BZ,3,FALSE)),C12,INDIRECT("'Points Lookup'!"&amp;VLOOKUP($C$6,Grades!A:BZ,4,FALSE)&amp;":"&amp;VLOOKUP($C$6,Grades!A:Z,4,FALSE))))</f>
        <v/>
      </c>
      <c r="E12" s="251"/>
      <c r="F12" s="251" t="str">
        <f ca="1">IF($C12="","",IF(SUMIF(Grades!$A:$A,$C$6,Grades!$BU:$BU)=0,"-",IF(AND(VLOOKUP($C$6,Grades!$A:$BZ,77,FALSE)="YES",C12&lt;Thresholds_Rates!$C$13),"-",$D12*Thresholds_Rates!$F$12)))</f>
        <v/>
      </c>
      <c r="G12" s="251" t="str">
        <f ca="1">IF(C12="","",IF(OR($C$6="Salary Points 3 to 57",$C$6="Salary Points 3 to 57 (post-pay award)"),"-",IF(SUMIF(Grades!$A:$A,$C$6,Grades!$BV:$BV)=0,"-",$D12*Thresholds_Rates!$F$13)))</f>
        <v/>
      </c>
      <c r="H12" s="251" t="str">
        <f ca="1">IF(C12="","",IF($C$6="Apprenticeship","-",IF(SUMIF(Grades!$A:$A,$C$6,Grades!$BW:$BW)=0,"-",IF(AND(VLOOKUP($C$6,Grades!$A:$BZ,77,FALSE)="YES",C12&gt;Thresholds_Rates!$C$14),"-",$D12*Thresholds_Rates!$F$14))))</f>
        <v/>
      </c>
      <c r="I12" s="251" t="str">
        <f ca="1">IF($C12="","",IF($D12=0,0,ROUND(($D12-(Thresholds_Rates!$C$4*12))*Thresholds_Rates!$C$7,0)))</f>
        <v/>
      </c>
      <c r="J12" s="251" t="str">
        <f ca="1">IF(C12="","",(D12*Thresholds_Rates!$C$9))</f>
        <v/>
      </c>
      <c r="K12" s="251" t="str">
        <f ca="1">IF(C12="","",IF(SUMIF(Grades!$A:$A,$C$6,Grades!$BX:$BX)=0,"-",IF(AND(VLOOKUP($C$6,Grades!$A:$BZ,77,FALSE)="YES",C12&gt;Thresholds_Rates!$C$14),"-",$D12*Thresholds_Rates!$F$15)))</f>
        <v/>
      </c>
      <c r="L12" s="251"/>
      <c r="M12" s="251" t="str">
        <f t="shared" ca="1" si="0"/>
        <v/>
      </c>
      <c r="N12" s="251" t="str">
        <f t="shared" ca="1" si="1"/>
        <v/>
      </c>
      <c r="O12" s="251" t="str">
        <f t="shared" ca="1" si="2"/>
        <v/>
      </c>
      <c r="P12" s="251" t="str">
        <f t="shared" ca="1" si="3"/>
        <v/>
      </c>
      <c r="Q12" s="251" t="str">
        <f t="shared" ca="1" si="4"/>
        <v/>
      </c>
      <c r="R12" s="50"/>
      <c r="S12" s="158" t="str">
        <f ca="1">IF(OR($C12="",$D$10="Salary"),"",SUMIF(INDIRECT("'Points Lookup'!"&amp;VLOOKUP($C$6,Grades!$A:$BZ,3,FALSE)&amp;":"&amp;VLOOKUP($C$6,Grades!$A:$BZ,3,FALSE)),$C12,OFFSET(INDIRECT("'Points Lookup'!"&amp;VLOOKUP($C$6,Grades!$A:$BZ,3,FALSE)&amp;":"&amp;VLOOKUP($C$6,Grades!$A:$BZ,3,FALSE)),0,1)))</f>
        <v/>
      </c>
      <c r="T12" s="159" t="str">
        <f ca="1">IF(OR($C12="",$D$10="Salary"),"",$D12-SUMIF(INDIRECT("'Points Lookup'!"&amp;VLOOKUP($C$6,Grades!$A:$BZ,3,FALSE)&amp;":"&amp;VLOOKUP($C$6,Grades!$A:$BZ,3,FALSE)),$C12,OFFSET(INDIRECT("'Points Lookup'!"&amp;VLOOKUP($C$6,Grades!$A:$BZ,3,FALSE)&amp;":"&amp;VLOOKUP($C$6,Grades!$A:$BZ,3,FALSE)),0,2)))</f>
        <v/>
      </c>
      <c r="U12" s="158" t="str">
        <f ca="1">IF(OR($C12="",$D$10="Salary"),"",SUMIF(INDIRECT("'Points Lookup'!"&amp;VLOOKUP($C$6,Grades!$A:$BZ,3,FALSE)&amp;":"&amp;VLOOKUP($C$6,Grades!$A:$BZ,3,FALSE)),$C12,OFFSET(INDIRECT("'Points Lookup'!"&amp;VLOOKUP($C$6,Grades!$A:$BZ,3,FALSE)&amp;":"&amp;VLOOKUP($C$6,Grades!$A:$BZ,3,FALSE)),0,4)))</f>
        <v/>
      </c>
      <c r="V12" s="159" t="str">
        <f t="shared" ca="1" si="5"/>
        <v/>
      </c>
    </row>
    <row r="13" spans="2:32" x14ac:dyDescent="0.25">
      <c r="B13" s="156">
        <v>3</v>
      </c>
      <c r="C13" s="50" t="str">
        <f ca="1">IFERROR(INDEX('Points Lookup'!$A:$A,MATCH($B13,'Points Lookup'!$AR:$AR,0)),"")</f>
        <v/>
      </c>
      <c r="D13" s="251" t="str">
        <f ca="1">IF(C13="","",SUMIF(INDIRECT("'Points Lookup'!"&amp;VLOOKUP($C$6,Grades!A:BZ,3,FALSE)&amp;":"&amp;VLOOKUP($C$6,Grades!A:BZ,3,FALSE)),C13,INDIRECT("'Points Lookup'!"&amp;VLOOKUP($C$6,Grades!A:BZ,4,FALSE)&amp;":"&amp;VLOOKUP($C$6,Grades!A:Z,4,FALSE))))</f>
        <v/>
      </c>
      <c r="E13" s="251"/>
      <c r="F13" s="251" t="str">
        <f ca="1">IF($C13="","",IF(SUMIF(Grades!$A:$A,$C$6,Grades!$BU:$BU)=0,"-",IF(AND(VLOOKUP($C$6,Grades!$A:$BZ,77,FALSE)="YES",C13&lt;Thresholds_Rates!$C$13),"-",$D13*Thresholds_Rates!$F$12)))</f>
        <v/>
      </c>
      <c r="G13" s="251" t="str">
        <f ca="1">IF(C13="","",IF(OR($C$6="Salary Points 3 to 57",$C$6="Salary Points 3 to 57 (post-pay award)"),"-",IF(SUMIF(Grades!$A:$A,$C$6,Grades!$BV:$BV)=0,"-",$D13*Thresholds_Rates!$F$13)))</f>
        <v/>
      </c>
      <c r="H13" s="251" t="str">
        <f ca="1">IF(C13="","",IF($C$6="Apprenticeship","-",IF(SUMIF(Grades!$A:$A,$C$6,Grades!$BW:$BW)=0,"-",IF(AND(VLOOKUP($C$6,Grades!$A:$BZ,77,FALSE)="YES",C13&gt;Thresholds_Rates!$C$14),"-",$D13*Thresholds_Rates!$F$14))))</f>
        <v/>
      </c>
      <c r="I13" s="251" t="str">
        <f ca="1">IF($C13="","",IF($D13=0,0,ROUND(($D13-(Thresholds_Rates!$C$4*12))*Thresholds_Rates!$C$7,0)))</f>
        <v/>
      </c>
      <c r="J13" s="251" t="str">
        <f ca="1">IF(C13="","",(D13*Thresholds_Rates!$C$9))</f>
        <v/>
      </c>
      <c r="K13" s="251" t="str">
        <f ca="1">IF(C13="","",IF(SUMIF(Grades!$A:$A,$C$6,Grades!$BX:$BX)=0,"-",IF(AND(VLOOKUP($C$6,Grades!$A:$BZ,77,FALSE)="YES",C13&gt;Thresholds_Rates!$C$14),"-",$D13*Thresholds_Rates!$F$15)))</f>
        <v/>
      </c>
      <c r="L13" s="251"/>
      <c r="M13" s="251" t="str">
        <f t="shared" ca="1" si="0"/>
        <v/>
      </c>
      <c r="N13" s="251" t="str">
        <f t="shared" ca="1" si="1"/>
        <v/>
      </c>
      <c r="O13" s="251" t="str">
        <f t="shared" ca="1" si="2"/>
        <v/>
      </c>
      <c r="P13" s="251" t="str">
        <f t="shared" ca="1" si="3"/>
        <v/>
      </c>
      <c r="Q13" s="251" t="str">
        <f t="shared" ca="1" si="4"/>
        <v/>
      </c>
      <c r="S13" s="158" t="str">
        <f ca="1">IF(OR($C13="",$D$10="Salary"),"",SUMIF(INDIRECT("'Points Lookup'!"&amp;VLOOKUP($C$6,Grades!$A:$BZ,3,FALSE)&amp;":"&amp;VLOOKUP($C$6,Grades!$A:$BZ,3,FALSE)),$C13,OFFSET(INDIRECT("'Points Lookup'!"&amp;VLOOKUP($C$6,Grades!$A:$BZ,3,FALSE)&amp;":"&amp;VLOOKUP($C$6,Grades!$A:$BZ,3,FALSE)),0,1)))</f>
        <v/>
      </c>
      <c r="T13" s="159" t="str">
        <f ca="1">IF(OR($C13="",$D$10="Salary"),"",$D13-SUMIF(INDIRECT("'Points Lookup'!"&amp;VLOOKUP($C$6,Grades!$A:$BZ,3,FALSE)&amp;":"&amp;VLOOKUP($C$6,Grades!$A:$BZ,3,FALSE)),$C13,OFFSET(INDIRECT("'Points Lookup'!"&amp;VLOOKUP($C$6,Grades!$A:$BZ,3,FALSE)&amp;":"&amp;VLOOKUP($C$6,Grades!$A:$BZ,3,FALSE)),0,2)))</f>
        <v/>
      </c>
      <c r="U13" s="158" t="str">
        <f ca="1">IF(OR($C13="",$D$10="Salary"),"",SUMIF(INDIRECT("'Points Lookup'!"&amp;VLOOKUP($C$6,Grades!$A:$BZ,3,FALSE)&amp;":"&amp;VLOOKUP($C$6,Grades!$A:$BZ,3,FALSE)),$C13,OFFSET(INDIRECT("'Points Lookup'!"&amp;VLOOKUP($C$6,Grades!$A:$BZ,3,FALSE)&amp;":"&amp;VLOOKUP($C$6,Grades!$A:$BZ,3,FALSE)),0,4)))</f>
        <v/>
      </c>
      <c r="V13" s="159" t="str">
        <f t="shared" ca="1" si="5"/>
        <v/>
      </c>
    </row>
    <row r="14" spans="2:32" x14ac:dyDescent="0.25">
      <c r="B14" s="156">
        <v>4</v>
      </c>
      <c r="C14" s="50" t="str">
        <f ca="1">IFERROR(INDEX('Points Lookup'!$A:$A,MATCH($B14,'Points Lookup'!$AR:$AR,0)),"")</f>
        <v/>
      </c>
      <c r="D14" s="251" t="str">
        <f ca="1">IF(C14="","",SUMIF(INDIRECT("'Points Lookup'!"&amp;VLOOKUP($C$6,Grades!A:BZ,3,FALSE)&amp;":"&amp;VLOOKUP($C$6,Grades!A:BZ,3,FALSE)),C14,INDIRECT("'Points Lookup'!"&amp;VLOOKUP($C$6,Grades!A:BZ,4,FALSE)&amp;":"&amp;VLOOKUP($C$6,Grades!A:Z,4,FALSE))))</f>
        <v/>
      </c>
      <c r="E14" s="251"/>
      <c r="F14" s="251" t="str">
        <f ca="1">IF($C14="","",IF(SUMIF(Grades!$A:$A,$C$6,Grades!$BU:$BU)=0,"-",IF(AND(VLOOKUP($C$6,Grades!$A:$BZ,77,FALSE)="YES",C14&lt;Thresholds_Rates!$C$13),"-",$D14*Thresholds_Rates!$F$12)))</f>
        <v/>
      </c>
      <c r="G14" s="251" t="str">
        <f ca="1">IF(C14="","",IF(OR($C$6="Salary Points 3 to 57",$C$6="Salary Points 3 to 57 (post-pay award)"),"-",IF(SUMIF(Grades!$A:$A,$C$6,Grades!$BV:$BV)=0,"-",$D14*Thresholds_Rates!$F$13)))</f>
        <v/>
      </c>
      <c r="H14" s="251" t="str">
        <f ca="1">IF(C14="","",IF($C$6="Apprenticeship","-",IF(SUMIF(Grades!$A:$A,$C$6,Grades!$BW:$BW)=0,"-",IF(AND(VLOOKUP($C$6,Grades!$A:$BZ,77,FALSE)="YES",C14&gt;Thresholds_Rates!$C$14),"-",$D14*Thresholds_Rates!$F$14))))</f>
        <v/>
      </c>
      <c r="I14" s="251" t="str">
        <f ca="1">IF($C14="","",IF($D14=0,0,ROUND(($D14-(Thresholds_Rates!$C$4*12))*Thresholds_Rates!$C$7,0)))</f>
        <v/>
      </c>
      <c r="J14" s="251" t="str">
        <f ca="1">IF(C14="","",(D14*Thresholds_Rates!$C$9))</f>
        <v/>
      </c>
      <c r="K14" s="251" t="str">
        <f ca="1">IF(C14="","",IF(SUMIF(Grades!$A:$A,$C$6,Grades!$BX:$BX)=0,"-",IF(AND(VLOOKUP($C$6,Grades!$A:$BZ,77,FALSE)="YES",C14&gt;Thresholds_Rates!$C$14),"-",$D14*Thresholds_Rates!$F$15)))</f>
        <v/>
      </c>
      <c r="L14" s="251"/>
      <c r="M14" s="251" t="str">
        <f t="shared" ca="1" si="0"/>
        <v/>
      </c>
      <c r="N14" s="251" t="str">
        <f t="shared" ca="1" si="1"/>
        <v/>
      </c>
      <c r="O14" s="251" t="str">
        <f t="shared" ca="1" si="2"/>
        <v/>
      </c>
      <c r="P14" s="251" t="str">
        <f t="shared" ca="1" si="3"/>
        <v/>
      </c>
      <c r="Q14" s="251" t="str">
        <f t="shared" ca="1" si="4"/>
        <v/>
      </c>
      <c r="S14" s="158" t="str">
        <f ca="1">IF(OR($C14="",$D$10="Salary"),"",SUMIF(INDIRECT("'Points Lookup'!"&amp;VLOOKUP($C$6,Grades!$A:$BZ,3,FALSE)&amp;":"&amp;VLOOKUP($C$6,Grades!$A:$BZ,3,FALSE)),$C14,OFFSET(INDIRECT("'Points Lookup'!"&amp;VLOOKUP($C$6,Grades!$A:$BZ,3,FALSE)&amp;":"&amp;VLOOKUP($C$6,Grades!$A:$BZ,3,FALSE)),0,1)))</f>
        <v/>
      </c>
      <c r="T14" s="159" t="str">
        <f ca="1">IF(OR($C14="",$D$10="Salary"),"",$D14-SUMIF(INDIRECT("'Points Lookup'!"&amp;VLOOKUP($C$6,Grades!$A:$BZ,3,FALSE)&amp;":"&amp;VLOOKUP($C$6,Grades!$A:$BZ,3,FALSE)),$C14,OFFSET(INDIRECT("'Points Lookup'!"&amp;VLOOKUP($C$6,Grades!$A:$BZ,3,FALSE)&amp;":"&amp;VLOOKUP($C$6,Grades!$A:$BZ,3,FALSE)),0,2)))</f>
        <v/>
      </c>
      <c r="U14" s="158" t="str">
        <f ca="1">IF(OR($C14="",$D$10="Salary"),"",SUMIF(INDIRECT("'Points Lookup'!"&amp;VLOOKUP($C$6,Grades!$A:$BZ,3,FALSE)&amp;":"&amp;VLOOKUP($C$6,Grades!$A:$BZ,3,FALSE)),$C14,OFFSET(INDIRECT("'Points Lookup'!"&amp;VLOOKUP($C$6,Grades!$A:$BZ,3,FALSE)&amp;":"&amp;VLOOKUP($C$6,Grades!$A:$BZ,3,FALSE)),0,4)))</f>
        <v/>
      </c>
      <c r="V14" s="159" t="str">
        <f t="shared" ca="1" si="5"/>
        <v/>
      </c>
    </row>
    <row r="15" spans="2:32" x14ac:dyDescent="0.25">
      <c r="B15" s="156">
        <v>5</v>
      </c>
      <c r="C15" s="50" t="str">
        <f ca="1">IFERROR(INDEX('Points Lookup'!$A:$A,MATCH($B15,'Points Lookup'!$AR:$AR,0)),"")</f>
        <v/>
      </c>
      <c r="D15" s="251" t="str">
        <f ca="1">IF(C15="","",SUMIF(INDIRECT("'Points Lookup'!"&amp;VLOOKUP($C$6,Grades!A:BZ,3,FALSE)&amp;":"&amp;VLOOKUP($C$6,Grades!A:BZ,3,FALSE)),C15,INDIRECT("'Points Lookup'!"&amp;VLOOKUP($C$6,Grades!A:BZ,4,FALSE)&amp;":"&amp;VLOOKUP($C$6,Grades!A:Z,4,FALSE))))</f>
        <v/>
      </c>
      <c r="E15" s="251"/>
      <c r="F15" s="251" t="str">
        <f ca="1">IF($C15="","",IF(SUMIF(Grades!$A:$A,$C$6,Grades!$BU:$BU)=0,"-",IF(AND(VLOOKUP($C$6,Grades!$A:$BZ,77,FALSE)="YES",C15&lt;Thresholds_Rates!$C$13),"-",$D15*Thresholds_Rates!$F$12)))</f>
        <v/>
      </c>
      <c r="G15" s="251" t="str">
        <f ca="1">IF(C15="","",IF(OR($C$6="Salary Points 3 to 57",$C$6="Salary Points 3 to 57 (post-pay award)"),"-",IF(SUMIF(Grades!$A:$A,$C$6,Grades!$BV:$BV)=0,"-",$D15*Thresholds_Rates!$F$13)))</f>
        <v/>
      </c>
      <c r="H15" s="251" t="str">
        <f ca="1">IF(C15="","",IF($C$6="Apprenticeship","-",IF(SUMIF(Grades!$A:$A,$C$6,Grades!$BW:$BW)=0,"-",IF(AND(VLOOKUP($C$6,Grades!$A:$BZ,77,FALSE)="YES",C15&gt;Thresholds_Rates!$C$14),"-",$D15*Thresholds_Rates!$F$14))))</f>
        <v/>
      </c>
      <c r="I15" s="251" t="str">
        <f ca="1">IF($C15="","",IF($D15=0,0,ROUND(($D15-(Thresholds_Rates!$C$4*12))*Thresholds_Rates!$C$7,0)))</f>
        <v/>
      </c>
      <c r="J15" s="251" t="str">
        <f ca="1">IF(C15="","",(D15*Thresholds_Rates!$C$9))</f>
        <v/>
      </c>
      <c r="K15" s="251" t="str">
        <f ca="1">IF(C15="","",IF(SUMIF(Grades!$A:$A,$C$6,Grades!$BX:$BX)=0,"-",IF(AND(VLOOKUP($C$6,Grades!$A:$BZ,77,FALSE)="YES",C15&gt;Thresholds_Rates!$C$14),"-",$D15*Thresholds_Rates!$F$15)))</f>
        <v/>
      </c>
      <c r="L15" s="251"/>
      <c r="M15" s="251" t="str">
        <f t="shared" ca="1" si="0"/>
        <v/>
      </c>
      <c r="N15" s="251" t="str">
        <f t="shared" ca="1" si="1"/>
        <v/>
      </c>
      <c r="O15" s="251" t="str">
        <f t="shared" ca="1" si="2"/>
        <v/>
      </c>
      <c r="P15" s="251" t="str">
        <f t="shared" ca="1" si="3"/>
        <v/>
      </c>
      <c r="Q15" s="251" t="str">
        <f t="shared" ca="1" si="4"/>
        <v/>
      </c>
      <c r="S15" s="158" t="str">
        <f ca="1">IF(OR($C15="",$D$10="Salary"),"",SUMIF(INDIRECT("'Points Lookup'!"&amp;VLOOKUP($C$6,Grades!$A:$BZ,3,FALSE)&amp;":"&amp;VLOOKUP($C$6,Grades!$A:$BZ,3,FALSE)),$C15,OFFSET(INDIRECT("'Points Lookup'!"&amp;VLOOKUP($C$6,Grades!$A:$BZ,3,FALSE)&amp;":"&amp;VLOOKUP($C$6,Grades!$A:$BZ,3,FALSE)),0,1)))</f>
        <v/>
      </c>
      <c r="T15" s="159" t="str">
        <f ca="1">IF(OR($C15="",$D$10="Salary"),"",$D15-SUMIF(INDIRECT("'Points Lookup'!"&amp;VLOOKUP($C$6,Grades!$A:$BZ,3,FALSE)&amp;":"&amp;VLOOKUP($C$6,Grades!$A:$BZ,3,FALSE)),$C15,OFFSET(INDIRECT("'Points Lookup'!"&amp;VLOOKUP($C$6,Grades!$A:$BZ,3,FALSE)&amp;":"&amp;VLOOKUP($C$6,Grades!$A:$BZ,3,FALSE)),0,2)))</f>
        <v/>
      </c>
      <c r="U15" s="158" t="str">
        <f ca="1">IF(OR($C15="",$D$10="Salary"),"",SUMIF(INDIRECT("'Points Lookup'!"&amp;VLOOKUP($C$6,Grades!$A:$BZ,3,FALSE)&amp;":"&amp;VLOOKUP($C$6,Grades!$A:$BZ,3,FALSE)),$C15,OFFSET(INDIRECT("'Points Lookup'!"&amp;VLOOKUP($C$6,Grades!$A:$BZ,3,FALSE)&amp;":"&amp;VLOOKUP($C$6,Grades!$A:$BZ,3,FALSE)),0,4)))</f>
        <v/>
      </c>
      <c r="V15" s="159" t="str">
        <f t="shared" ca="1" si="5"/>
        <v/>
      </c>
    </row>
    <row r="16" spans="2:32" x14ac:dyDescent="0.25">
      <c r="B16" s="156">
        <v>6</v>
      </c>
      <c r="C16" s="50" t="str">
        <f ca="1">IFERROR(INDEX('Points Lookup'!$A:$A,MATCH($B16,'Points Lookup'!$AR:$AR,0)),"")</f>
        <v/>
      </c>
      <c r="D16" s="251" t="str">
        <f ca="1">IF(C16="","",SUMIF(INDIRECT("'Points Lookup'!"&amp;VLOOKUP($C$6,Grades!A:BZ,3,FALSE)&amp;":"&amp;VLOOKUP($C$6,Grades!A:BZ,3,FALSE)),C16,INDIRECT("'Points Lookup'!"&amp;VLOOKUP($C$6,Grades!A:BZ,4,FALSE)&amp;":"&amp;VLOOKUP($C$6,Grades!A:Z,4,FALSE))))</f>
        <v/>
      </c>
      <c r="E16" s="251"/>
      <c r="F16" s="251" t="str">
        <f ca="1">IF($C16="","",IF(SUMIF(Grades!$A:$A,$C$6,Grades!$BU:$BU)=0,"-",IF(AND(VLOOKUP($C$6,Grades!$A:$BZ,77,FALSE)="YES",C16&lt;Thresholds_Rates!$C$13),"-",$D16*Thresholds_Rates!$F$12)))</f>
        <v/>
      </c>
      <c r="G16" s="251" t="str">
        <f ca="1">IF(C16="","",IF(OR($C$6="Salary Points 3 to 57",$C$6="Salary Points 3 to 57 (post-pay award)"),"-",IF(SUMIF(Grades!$A:$A,$C$6,Grades!$BV:$BV)=0,"-",$D16*Thresholds_Rates!$F$13)))</f>
        <v/>
      </c>
      <c r="H16" s="251" t="str">
        <f ca="1">IF(C16="","",IF($C$6="Apprenticeship","-",IF(SUMIF(Grades!$A:$A,$C$6,Grades!$BW:$BW)=0,"-",IF(AND(VLOOKUP($C$6,Grades!$A:$BZ,77,FALSE)="YES",C16&gt;Thresholds_Rates!$C$14),"-",$D16*Thresholds_Rates!$F$14))))</f>
        <v/>
      </c>
      <c r="I16" s="251" t="str">
        <f ca="1">IF($C16="","",IF($D16=0,0,ROUND(($D16-(Thresholds_Rates!$C$4*12))*Thresholds_Rates!$C$7,0)))</f>
        <v/>
      </c>
      <c r="J16" s="251" t="str">
        <f ca="1">IF(C16="","",(D16*Thresholds_Rates!$C$9))</f>
        <v/>
      </c>
      <c r="K16" s="251" t="str">
        <f ca="1">IF(C16="","",IF(SUMIF(Grades!$A:$A,$C$6,Grades!$BX:$BX)=0,"-",IF(AND(VLOOKUP($C$6,Grades!$A:$BZ,77,FALSE)="YES",C16&gt;Thresholds_Rates!$C$14),"-",$D16*Thresholds_Rates!$F$15)))</f>
        <v/>
      </c>
      <c r="L16" s="251"/>
      <c r="M16" s="251" t="str">
        <f t="shared" ca="1" si="0"/>
        <v/>
      </c>
      <c r="N16" s="251" t="str">
        <f t="shared" ca="1" si="1"/>
        <v/>
      </c>
      <c r="O16" s="251" t="str">
        <f t="shared" ca="1" si="2"/>
        <v/>
      </c>
      <c r="P16" s="251" t="str">
        <f t="shared" ca="1" si="3"/>
        <v/>
      </c>
      <c r="Q16" s="251" t="str">
        <f t="shared" ca="1" si="4"/>
        <v/>
      </c>
      <c r="S16" s="158" t="str">
        <f ca="1">IF(OR($C16="",$D$10="Salary"),"",SUMIF(INDIRECT("'Points Lookup'!"&amp;VLOOKUP($C$6,Grades!$A:$BZ,3,FALSE)&amp;":"&amp;VLOOKUP($C$6,Grades!$A:$BZ,3,FALSE)),$C16,OFFSET(INDIRECT("'Points Lookup'!"&amp;VLOOKUP($C$6,Grades!$A:$BZ,3,FALSE)&amp;":"&amp;VLOOKUP($C$6,Grades!$A:$BZ,3,FALSE)),0,1)))</f>
        <v/>
      </c>
      <c r="T16" s="159" t="str">
        <f ca="1">IF(OR($C16="",$D$10="Salary"),"",$D16-SUMIF(INDIRECT("'Points Lookup'!"&amp;VLOOKUP($C$6,Grades!$A:$BZ,3,FALSE)&amp;":"&amp;VLOOKUP($C$6,Grades!$A:$BZ,3,FALSE)),$C16,OFFSET(INDIRECT("'Points Lookup'!"&amp;VLOOKUP($C$6,Grades!$A:$BZ,3,FALSE)&amp;":"&amp;VLOOKUP($C$6,Grades!$A:$BZ,3,FALSE)),0,2)))</f>
        <v/>
      </c>
      <c r="U16" s="158" t="str">
        <f ca="1">IF(OR($C16="",$D$10="Salary"),"",SUMIF(INDIRECT("'Points Lookup'!"&amp;VLOOKUP($C$6,Grades!$A:$BZ,3,FALSE)&amp;":"&amp;VLOOKUP($C$6,Grades!$A:$BZ,3,FALSE)),$C16,OFFSET(INDIRECT("'Points Lookup'!"&amp;VLOOKUP($C$6,Grades!$A:$BZ,3,FALSE)&amp;":"&amp;VLOOKUP($C$6,Grades!$A:$BZ,3,FALSE)),0,4)))</f>
        <v/>
      </c>
      <c r="V16" s="159" t="str">
        <f t="shared" ca="1" si="5"/>
        <v/>
      </c>
    </row>
    <row r="17" spans="2:22" x14ac:dyDescent="0.25">
      <c r="B17" s="156">
        <v>7</v>
      </c>
      <c r="C17" s="50" t="str">
        <f ca="1">IFERROR(INDEX('Points Lookup'!$A:$A,MATCH($B17,'Points Lookup'!$AR:$AR,0)),"")</f>
        <v/>
      </c>
      <c r="D17" s="251" t="str">
        <f ca="1">IF(C17="","",SUMIF(INDIRECT("'Points Lookup'!"&amp;VLOOKUP($C$6,Grades!A:BZ,3,FALSE)&amp;":"&amp;VLOOKUP($C$6,Grades!A:BZ,3,FALSE)),C17,INDIRECT("'Points Lookup'!"&amp;VLOOKUP($C$6,Grades!A:BZ,4,FALSE)&amp;":"&amp;VLOOKUP($C$6,Grades!A:Z,4,FALSE))))</f>
        <v/>
      </c>
      <c r="E17" s="251"/>
      <c r="F17" s="251" t="str">
        <f ca="1">IF($C17="","",IF(SUMIF(Grades!$A:$A,$C$6,Grades!$BU:$BU)=0,"-",IF(AND(VLOOKUP($C$6,Grades!$A:$BZ,77,FALSE)="YES",C17&lt;Thresholds_Rates!$C$13),"-",$D17*Thresholds_Rates!$F$12)))</f>
        <v/>
      </c>
      <c r="G17" s="251" t="str">
        <f ca="1">IF(C17="","",IF(OR($C$6="Salary Points 3 to 57",$C$6="Salary Points 3 to 57 (post-pay award)"),"-",IF(SUMIF(Grades!$A:$A,$C$6,Grades!$BV:$BV)=0,"-",$D17*Thresholds_Rates!$F$13)))</f>
        <v/>
      </c>
      <c r="H17" s="251" t="str">
        <f ca="1">IF(C17="","",IF($C$6="Apprenticeship","-",IF(SUMIF(Grades!$A:$A,$C$6,Grades!$BW:$BW)=0,"-",IF(AND(VLOOKUP($C$6,Grades!$A:$BZ,77,FALSE)="YES",C17&gt;Thresholds_Rates!$C$14),"-",$D17*Thresholds_Rates!$F$14))))</f>
        <v/>
      </c>
      <c r="I17" s="251" t="str">
        <f ca="1">IF($C17="","",IF($D17=0,0,ROUND(($D17-(Thresholds_Rates!$C$4*12))*Thresholds_Rates!$C$7,0)))</f>
        <v/>
      </c>
      <c r="J17" s="251" t="str">
        <f ca="1">IF(C17="","",(D17*Thresholds_Rates!$C$9))</f>
        <v/>
      </c>
      <c r="K17" s="251" t="str">
        <f ca="1">IF(C17="","",IF(SUMIF(Grades!$A:$A,$C$6,Grades!$BX:$BX)=0,"-",IF(AND(VLOOKUP($C$6,Grades!$A:$BZ,77,FALSE)="YES",C17&gt;Thresholds_Rates!$C$14),"-",$D17*Thresholds_Rates!$F$15)))</f>
        <v/>
      </c>
      <c r="L17" s="251"/>
      <c r="M17" s="251" t="str">
        <f t="shared" ca="1" si="0"/>
        <v/>
      </c>
      <c r="N17" s="251" t="str">
        <f t="shared" ca="1" si="1"/>
        <v/>
      </c>
      <c r="O17" s="251" t="str">
        <f t="shared" ca="1" si="2"/>
        <v/>
      </c>
      <c r="P17" s="251" t="str">
        <f t="shared" ca="1" si="3"/>
        <v/>
      </c>
      <c r="Q17" s="251" t="str">
        <f t="shared" ca="1" si="4"/>
        <v/>
      </c>
      <c r="S17" s="158" t="str">
        <f ca="1">IF(OR($C17="",$D$10="Salary"),"",SUMIF(INDIRECT("'Points Lookup'!"&amp;VLOOKUP($C$6,Grades!$A:$BZ,3,FALSE)&amp;":"&amp;VLOOKUP($C$6,Grades!$A:$BZ,3,FALSE)),$C17,OFFSET(INDIRECT("'Points Lookup'!"&amp;VLOOKUP($C$6,Grades!$A:$BZ,3,FALSE)&amp;":"&amp;VLOOKUP($C$6,Grades!$A:$BZ,3,FALSE)),0,1)))</f>
        <v/>
      </c>
      <c r="T17" s="159" t="str">
        <f ca="1">IF(OR($C17="",$D$10="Salary"),"",$D17-SUMIF(INDIRECT("'Points Lookup'!"&amp;VLOOKUP($C$6,Grades!$A:$BZ,3,FALSE)&amp;":"&amp;VLOOKUP($C$6,Grades!$A:$BZ,3,FALSE)),$C17,OFFSET(INDIRECT("'Points Lookup'!"&amp;VLOOKUP($C$6,Grades!$A:$BZ,3,FALSE)&amp;":"&amp;VLOOKUP($C$6,Grades!$A:$BZ,3,FALSE)),0,2)))</f>
        <v/>
      </c>
      <c r="U17" s="158" t="str">
        <f ca="1">IF(OR($C17="",$D$10="Salary"),"",SUMIF(INDIRECT("'Points Lookup'!"&amp;VLOOKUP($C$6,Grades!$A:$BZ,3,FALSE)&amp;":"&amp;VLOOKUP($C$6,Grades!$A:$BZ,3,FALSE)),$C17,OFFSET(INDIRECT("'Points Lookup'!"&amp;VLOOKUP($C$6,Grades!$A:$BZ,3,FALSE)&amp;":"&amp;VLOOKUP($C$6,Grades!$A:$BZ,3,FALSE)),0,4)))</f>
        <v/>
      </c>
      <c r="V17" s="159" t="str">
        <f t="shared" ca="1" si="5"/>
        <v/>
      </c>
    </row>
    <row r="18" spans="2:22" x14ac:dyDescent="0.25">
      <c r="B18" s="156">
        <v>8</v>
      </c>
      <c r="C18" s="50" t="str">
        <f ca="1">IFERROR(INDEX('Points Lookup'!$A:$A,MATCH($B18,'Points Lookup'!$AR:$AR,0)),"")</f>
        <v/>
      </c>
      <c r="D18" s="251" t="str">
        <f ca="1">IF(C18="","",SUMIF(INDIRECT("'Points Lookup'!"&amp;VLOOKUP($C$6,Grades!A:BZ,3,FALSE)&amp;":"&amp;VLOOKUP($C$6,Grades!A:BZ,3,FALSE)),C18,INDIRECT("'Points Lookup'!"&amp;VLOOKUP($C$6,Grades!A:BZ,4,FALSE)&amp;":"&amp;VLOOKUP($C$6,Grades!A:Z,4,FALSE))))</f>
        <v/>
      </c>
      <c r="E18" s="251"/>
      <c r="F18" s="251" t="str">
        <f ca="1">IF($C18="","",IF(SUMIF(Grades!$A:$A,$C$6,Grades!$BU:$BU)=0,"-",IF(AND(VLOOKUP($C$6,Grades!$A:$BZ,77,FALSE)="YES",C18&lt;Thresholds_Rates!$C$13),"-",$D18*Thresholds_Rates!$F$12)))</f>
        <v/>
      </c>
      <c r="G18" s="251" t="str">
        <f ca="1">IF(C18="","",IF(OR($C$6="Salary Points 3 to 57",$C$6="Salary Points 3 to 57 (post-pay award)"),"-",IF(SUMIF(Grades!$A:$A,$C$6,Grades!$BV:$BV)=0,"-",$D18*Thresholds_Rates!$F$13)))</f>
        <v/>
      </c>
      <c r="H18" s="251" t="str">
        <f ca="1">IF(C18="","",IF($C$6="Apprenticeship","-",IF(SUMIF(Grades!$A:$A,$C$6,Grades!$BW:$BW)=0,"-",IF(AND(VLOOKUP($C$6,Grades!$A:$BZ,77,FALSE)="YES",C18&gt;Thresholds_Rates!$C$14),"-",$D18*Thresholds_Rates!$F$14))))</f>
        <v/>
      </c>
      <c r="I18" s="251" t="str">
        <f ca="1">IF($C18="","",IF($D18=0,0,ROUND(($D18-(Thresholds_Rates!$C$4*12))*Thresholds_Rates!$C$7,0)))</f>
        <v/>
      </c>
      <c r="J18" s="251" t="str">
        <f ca="1">IF(C18="","",(D18*Thresholds_Rates!$C$9))</f>
        <v/>
      </c>
      <c r="K18" s="251" t="str">
        <f ca="1">IF(C18="","",IF(SUMIF(Grades!$A:$A,$C$6,Grades!$BX:$BX)=0,"-",IF(AND(VLOOKUP($C$6,Grades!$A:$BZ,77,FALSE)="YES",C18&gt;Thresholds_Rates!$C$14),"-",$D18*Thresholds_Rates!$F$15)))</f>
        <v/>
      </c>
      <c r="L18" s="251"/>
      <c r="M18" s="251" t="str">
        <f t="shared" ca="1" si="0"/>
        <v/>
      </c>
      <c r="N18" s="251" t="str">
        <f t="shared" ca="1" si="1"/>
        <v/>
      </c>
      <c r="O18" s="251" t="str">
        <f t="shared" ca="1" si="2"/>
        <v/>
      </c>
      <c r="P18" s="251" t="str">
        <f t="shared" ca="1" si="3"/>
        <v/>
      </c>
      <c r="Q18" s="251" t="str">
        <f t="shared" ca="1" si="4"/>
        <v/>
      </c>
      <c r="S18" s="158" t="str">
        <f ca="1">IF(OR($C18="",$D$10="Salary"),"",SUMIF(INDIRECT("'Points Lookup'!"&amp;VLOOKUP($C$6,Grades!$A:$BZ,3,FALSE)&amp;":"&amp;VLOOKUP($C$6,Grades!$A:$BZ,3,FALSE)),$C18,OFFSET(INDIRECT("'Points Lookup'!"&amp;VLOOKUP($C$6,Grades!$A:$BZ,3,FALSE)&amp;":"&amp;VLOOKUP($C$6,Grades!$A:$BZ,3,FALSE)),0,1)))</f>
        <v/>
      </c>
      <c r="T18" s="159" t="str">
        <f ca="1">IF(OR($C18="",$D$10="Salary"),"",$D18-SUMIF(INDIRECT("'Points Lookup'!"&amp;VLOOKUP($C$6,Grades!$A:$BZ,3,FALSE)&amp;":"&amp;VLOOKUP($C$6,Grades!$A:$BZ,3,FALSE)),$C18,OFFSET(INDIRECT("'Points Lookup'!"&amp;VLOOKUP($C$6,Grades!$A:$BZ,3,FALSE)&amp;":"&amp;VLOOKUP($C$6,Grades!$A:$BZ,3,FALSE)),0,2)))</f>
        <v/>
      </c>
      <c r="U18" s="158" t="str">
        <f ca="1">IF(OR($C18="",$D$10="Salary"),"",SUMIF(INDIRECT("'Points Lookup'!"&amp;VLOOKUP($C$6,Grades!$A:$BZ,3,FALSE)&amp;":"&amp;VLOOKUP($C$6,Grades!$A:$BZ,3,FALSE)),$C18,OFFSET(INDIRECT("'Points Lookup'!"&amp;VLOOKUP($C$6,Grades!$A:$BZ,3,FALSE)&amp;":"&amp;VLOOKUP($C$6,Grades!$A:$BZ,3,FALSE)),0,4)))</f>
        <v/>
      </c>
      <c r="V18" s="159" t="str">
        <f t="shared" ca="1" si="5"/>
        <v/>
      </c>
    </row>
    <row r="19" spans="2:22" x14ac:dyDescent="0.25">
      <c r="B19" s="156">
        <v>9</v>
      </c>
      <c r="C19" s="50" t="str">
        <f ca="1">IFERROR(INDEX('Points Lookup'!$A:$A,MATCH($B19,'Points Lookup'!$AR:$AR,0)),"")</f>
        <v/>
      </c>
      <c r="D19" s="251" t="str">
        <f ca="1">IF(C19="","",SUMIF(INDIRECT("'Points Lookup'!"&amp;VLOOKUP($C$6,Grades!A:BZ,3,FALSE)&amp;":"&amp;VLOOKUP($C$6,Grades!A:BZ,3,FALSE)),C19,INDIRECT("'Points Lookup'!"&amp;VLOOKUP($C$6,Grades!A:BZ,4,FALSE)&amp;":"&amp;VLOOKUP($C$6,Grades!A:Z,4,FALSE))))</f>
        <v/>
      </c>
      <c r="E19" s="251"/>
      <c r="F19" s="251" t="str">
        <f ca="1">IF($C19="","",IF(SUMIF(Grades!$A:$A,$C$6,Grades!$BU:$BU)=0,"-",IF(AND(VLOOKUP($C$6,Grades!$A:$BZ,77,FALSE)="YES",C19&lt;Thresholds_Rates!$C$13),"-",$D19*Thresholds_Rates!$F$12)))</f>
        <v/>
      </c>
      <c r="G19" s="251" t="str">
        <f ca="1">IF(C19="","",IF(OR($C$6="Salary Points 3 to 57",$C$6="Salary Points 3 to 57 (post-pay award)"),"-",IF(SUMIF(Grades!$A:$A,$C$6,Grades!$BV:$BV)=0,"-",$D19*Thresholds_Rates!$F$13)))</f>
        <v/>
      </c>
      <c r="H19" s="251" t="str">
        <f ca="1">IF(C19="","",IF($C$6="Apprenticeship","-",IF(SUMIF(Grades!$A:$A,$C$6,Grades!$BW:$BW)=0,"-",IF(AND(VLOOKUP($C$6,Grades!$A:$BZ,77,FALSE)="YES",C19&gt;Thresholds_Rates!$C$14),"-",$D19*Thresholds_Rates!$F$14))))</f>
        <v/>
      </c>
      <c r="I19" s="251" t="str">
        <f ca="1">IF($C19="","",IF($D19=0,0,ROUND(($D19-(Thresholds_Rates!$C$4*12))*Thresholds_Rates!$C$7,0)))</f>
        <v/>
      </c>
      <c r="J19" s="251" t="str">
        <f ca="1">IF(C19="","",(D19*Thresholds_Rates!$C$9))</f>
        <v/>
      </c>
      <c r="K19" s="251" t="str">
        <f ca="1">IF(C19="","",IF(SUMIF(Grades!$A:$A,$C$6,Grades!$BX:$BX)=0,"-",IF(AND(VLOOKUP($C$6,Grades!$A:$BZ,77,FALSE)="YES",C19&gt;Thresholds_Rates!$C$14),"-",$D19*Thresholds_Rates!$F$15)))</f>
        <v/>
      </c>
      <c r="L19" s="251"/>
      <c r="M19" s="251" t="str">
        <f t="shared" ca="1" si="0"/>
        <v/>
      </c>
      <c r="N19" s="251" t="str">
        <f t="shared" ca="1" si="1"/>
        <v/>
      </c>
      <c r="O19" s="251" t="str">
        <f t="shared" ca="1" si="2"/>
        <v/>
      </c>
      <c r="P19" s="251" t="str">
        <f t="shared" ca="1" si="3"/>
        <v/>
      </c>
      <c r="Q19" s="251" t="str">
        <f t="shared" ca="1" si="4"/>
        <v/>
      </c>
      <c r="S19" s="158" t="str">
        <f ca="1">IF(OR($C19="",$D$10="Salary"),"",SUMIF(INDIRECT("'Points Lookup'!"&amp;VLOOKUP($C$6,Grades!$A:$BZ,3,FALSE)&amp;":"&amp;VLOOKUP($C$6,Grades!$A:$BZ,3,FALSE)),$C19,OFFSET(INDIRECT("'Points Lookup'!"&amp;VLOOKUP($C$6,Grades!$A:$BZ,3,FALSE)&amp;":"&amp;VLOOKUP($C$6,Grades!$A:$BZ,3,FALSE)),0,1)))</f>
        <v/>
      </c>
      <c r="T19" s="159" t="str">
        <f ca="1">IF(OR($C19="",$D$10="Salary"),"",$D19-SUMIF(INDIRECT("'Points Lookup'!"&amp;VLOOKUP($C$6,Grades!$A:$BZ,3,FALSE)&amp;":"&amp;VLOOKUP($C$6,Grades!$A:$BZ,3,FALSE)),$C19,OFFSET(INDIRECT("'Points Lookup'!"&amp;VLOOKUP($C$6,Grades!$A:$BZ,3,FALSE)&amp;":"&amp;VLOOKUP($C$6,Grades!$A:$BZ,3,FALSE)),0,2)))</f>
        <v/>
      </c>
      <c r="U19" s="158" t="str">
        <f ca="1">IF(OR($C19="",$D$10="Salary"),"",SUMIF(INDIRECT("'Points Lookup'!"&amp;VLOOKUP($C$6,Grades!$A:$BZ,3,FALSE)&amp;":"&amp;VLOOKUP($C$6,Grades!$A:$BZ,3,FALSE)),$C19,OFFSET(INDIRECT("'Points Lookup'!"&amp;VLOOKUP($C$6,Grades!$A:$BZ,3,FALSE)&amp;":"&amp;VLOOKUP($C$6,Grades!$A:$BZ,3,FALSE)),0,4)))</f>
        <v/>
      </c>
      <c r="V19" s="159" t="str">
        <f t="shared" ca="1" si="5"/>
        <v/>
      </c>
    </row>
    <row r="20" spans="2:22" x14ac:dyDescent="0.25">
      <c r="B20" s="156">
        <v>10</v>
      </c>
      <c r="C20" s="50" t="str">
        <f ca="1">IFERROR(INDEX('Points Lookup'!$A:$A,MATCH($B20,'Points Lookup'!$AR:$AR,0)),"")</f>
        <v/>
      </c>
      <c r="D20" s="251" t="str">
        <f ca="1">IF(C20="","",SUMIF(INDIRECT("'Points Lookup'!"&amp;VLOOKUP($C$6,Grades!A:BZ,3,FALSE)&amp;":"&amp;VLOOKUP($C$6,Grades!A:BZ,3,FALSE)),C20,INDIRECT("'Points Lookup'!"&amp;VLOOKUP($C$6,Grades!A:BZ,4,FALSE)&amp;":"&amp;VLOOKUP($C$6,Grades!A:Z,4,FALSE))))</f>
        <v/>
      </c>
      <c r="E20" s="251"/>
      <c r="F20" s="251" t="str">
        <f ca="1">IF($C20="","",IF(SUMIF(Grades!$A:$A,$C$6,Grades!$BU:$BU)=0,"-",IF(AND(VLOOKUP($C$6,Grades!$A:$BZ,77,FALSE)="YES",C20&lt;Thresholds_Rates!$C$13),"-",$D20*Thresholds_Rates!$F$12)))</f>
        <v/>
      </c>
      <c r="G20" s="251" t="str">
        <f ca="1">IF(C20="","",IF(OR($C$6="Salary Points 3 to 57",$C$6="Salary Points 3 to 57 (post-pay award)"),"-",IF(SUMIF(Grades!$A:$A,$C$6,Grades!$BV:$BV)=0,"-",$D20*Thresholds_Rates!$F$13)))</f>
        <v/>
      </c>
      <c r="H20" s="251" t="str">
        <f ca="1">IF(C20="","",IF($C$6="Apprenticeship","-",IF(SUMIF(Grades!$A:$A,$C$6,Grades!$BW:$BW)=0,"-",IF(AND(VLOOKUP($C$6,Grades!$A:$BZ,77,FALSE)="YES",C20&gt;Thresholds_Rates!$C$14),"-",$D20*Thresholds_Rates!$F$14))))</f>
        <v/>
      </c>
      <c r="I20" s="251" t="str">
        <f ca="1">IF($C20="","",IF($D20=0,0,ROUND(($D20-(Thresholds_Rates!$C$4*12))*Thresholds_Rates!$C$7,0)))</f>
        <v/>
      </c>
      <c r="J20" s="251" t="str">
        <f ca="1">IF(C20="","",(D20*Thresholds_Rates!$C$9))</f>
        <v/>
      </c>
      <c r="K20" s="251" t="str">
        <f ca="1">IF(C20="","",IF(SUMIF(Grades!$A:$A,$C$6,Grades!$BX:$BX)=0,"-",IF(AND(VLOOKUP($C$6,Grades!$A:$BZ,77,FALSE)="YES",C20&gt;Thresholds_Rates!$C$14),"-",$D20*Thresholds_Rates!$F$15)))</f>
        <v/>
      </c>
      <c r="L20" s="251"/>
      <c r="M20" s="251" t="str">
        <f t="shared" ca="1" si="0"/>
        <v/>
      </c>
      <c r="N20" s="251" t="str">
        <f t="shared" ca="1" si="1"/>
        <v/>
      </c>
      <c r="O20" s="251" t="str">
        <f t="shared" ca="1" si="2"/>
        <v/>
      </c>
      <c r="P20" s="251" t="str">
        <f t="shared" ca="1" si="3"/>
        <v/>
      </c>
      <c r="Q20" s="251" t="str">
        <f t="shared" ca="1" si="4"/>
        <v/>
      </c>
      <c r="S20" s="158" t="str">
        <f ca="1">IF(OR($C20="",$D$10="Salary"),"",SUMIF(INDIRECT("'Points Lookup'!"&amp;VLOOKUP($C$6,Grades!$A:$BZ,3,FALSE)&amp;":"&amp;VLOOKUP($C$6,Grades!$A:$BZ,3,FALSE)),$C20,OFFSET(INDIRECT("'Points Lookup'!"&amp;VLOOKUP($C$6,Grades!$A:$BZ,3,FALSE)&amp;":"&amp;VLOOKUP($C$6,Grades!$A:$BZ,3,FALSE)),0,1)))</f>
        <v/>
      </c>
      <c r="T20" s="159" t="str">
        <f ca="1">IF(OR($C20="",$D$10="Salary"),"",$D20-SUMIF(INDIRECT("'Points Lookup'!"&amp;VLOOKUP($C$6,Grades!$A:$BZ,3,FALSE)&amp;":"&amp;VLOOKUP($C$6,Grades!$A:$BZ,3,FALSE)),$C20,OFFSET(INDIRECT("'Points Lookup'!"&amp;VLOOKUP($C$6,Grades!$A:$BZ,3,FALSE)&amp;":"&amp;VLOOKUP($C$6,Grades!$A:$BZ,3,FALSE)),0,2)))</f>
        <v/>
      </c>
      <c r="U20" s="158" t="str">
        <f ca="1">IF(OR($C20="",$D$10="Salary"),"",SUMIF(INDIRECT("'Points Lookup'!"&amp;VLOOKUP($C$6,Grades!$A:$BZ,3,FALSE)&amp;":"&amp;VLOOKUP($C$6,Grades!$A:$BZ,3,FALSE)),$C20,OFFSET(INDIRECT("'Points Lookup'!"&amp;VLOOKUP($C$6,Grades!$A:$BZ,3,FALSE)&amp;":"&amp;VLOOKUP($C$6,Grades!$A:$BZ,3,FALSE)),0,4)))</f>
        <v/>
      </c>
      <c r="V20" s="159" t="str">
        <f t="shared" ca="1" si="5"/>
        <v/>
      </c>
    </row>
    <row r="21" spans="2:22" x14ac:dyDescent="0.25">
      <c r="B21" s="156">
        <v>11</v>
      </c>
      <c r="C21" s="50" t="str">
        <f ca="1">IFERROR(INDEX('Points Lookup'!$A:$A,MATCH($B21,'Points Lookup'!$AR:$AR,0)),"")</f>
        <v/>
      </c>
      <c r="D21" s="251" t="str">
        <f ca="1">IF(C21="","",SUMIF(INDIRECT("'Points Lookup'!"&amp;VLOOKUP($C$6,Grades!A:BZ,3,FALSE)&amp;":"&amp;VLOOKUP($C$6,Grades!A:BZ,3,FALSE)),C21,INDIRECT("'Points Lookup'!"&amp;VLOOKUP($C$6,Grades!A:BZ,4,FALSE)&amp;":"&amp;VLOOKUP($C$6,Grades!A:Z,4,FALSE))))</f>
        <v/>
      </c>
      <c r="E21" s="251"/>
      <c r="F21" s="251" t="str">
        <f ca="1">IF($C21="","",IF(SUMIF(Grades!$A:$A,$C$6,Grades!$BU:$BU)=0,"-",IF(AND(VLOOKUP($C$6,Grades!$A:$BZ,77,FALSE)="YES",C21&lt;Thresholds_Rates!$C$13),"-",$D21*Thresholds_Rates!$F$12)))</f>
        <v/>
      </c>
      <c r="G21" s="251" t="str">
        <f ca="1">IF(C21="","",IF(OR($C$6="Salary Points 3 to 57",$C$6="Salary Points 3 to 57 (post-pay award)"),"-",IF(SUMIF(Grades!$A:$A,$C$6,Grades!$BV:$BV)=0,"-",$D21*Thresholds_Rates!$F$13)))</f>
        <v/>
      </c>
      <c r="H21" s="251" t="str">
        <f ca="1">IF(C21="","",IF($C$6="Apprenticeship","-",IF(SUMIF(Grades!$A:$A,$C$6,Grades!$BW:$BW)=0,"-",IF(AND(VLOOKUP($C$6,Grades!$A:$BZ,77,FALSE)="YES",C21&gt;Thresholds_Rates!$C$14),"-",$D21*Thresholds_Rates!$F$14))))</f>
        <v/>
      </c>
      <c r="I21" s="251" t="str">
        <f ca="1">IF($C21="","",IF($D21=0,0,ROUND(($D21-(Thresholds_Rates!$C$4*12))*Thresholds_Rates!$C$7,0)))</f>
        <v/>
      </c>
      <c r="J21" s="251" t="str">
        <f ca="1">IF(C21="","",(D21*Thresholds_Rates!$C$9))</f>
        <v/>
      </c>
      <c r="K21" s="251" t="str">
        <f ca="1">IF(C21="","",IF(SUMIF(Grades!$A:$A,$C$6,Grades!$BX:$BX)=0,"-",IF(AND(VLOOKUP($C$6,Grades!$A:$BZ,77,FALSE)="YES",C21&gt;Thresholds_Rates!$C$14),"-",$D21*Thresholds_Rates!$F$15)))</f>
        <v/>
      </c>
      <c r="L21" s="251"/>
      <c r="M21" s="251" t="str">
        <f t="shared" ca="1" si="0"/>
        <v/>
      </c>
      <c r="N21" s="251" t="str">
        <f t="shared" ca="1" si="1"/>
        <v/>
      </c>
      <c r="O21" s="251" t="str">
        <f t="shared" ca="1" si="2"/>
        <v/>
      </c>
      <c r="P21" s="251" t="str">
        <f t="shared" ca="1" si="3"/>
        <v/>
      </c>
      <c r="Q21" s="251" t="str">
        <f t="shared" ca="1" si="4"/>
        <v/>
      </c>
      <c r="S21" s="158" t="str">
        <f ca="1">IF(OR($C21="",$D$10="Salary"),"",SUMIF(INDIRECT("'Points Lookup'!"&amp;VLOOKUP($C$6,Grades!$A:$BZ,3,FALSE)&amp;":"&amp;VLOOKUP($C$6,Grades!$A:$BZ,3,FALSE)),$C21,OFFSET(INDIRECT("'Points Lookup'!"&amp;VLOOKUP($C$6,Grades!$A:$BZ,3,FALSE)&amp;":"&amp;VLOOKUP($C$6,Grades!$A:$BZ,3,FALSE)),0,1)))</f>
        <v/>
      </c>
      <c r="T21" s="159" t="str">
        <f ca="1">IF(OR($C21="",$D$10="Salary"),"",$D21-SUMIF(INDIRECT("'Points Lookup'!"&amp;VLOOKUP($C$6,Grades!$A:$BZ,3,FALSE)&amp;":"&amp;VLOOKUP($C$6,Grades!$A:$BZ,3,FALSE)),$C21,OFFSET(INDIRECT("'Points Lookup'!"&amp;VLOOKUP($C$6,Grades!$A:$BZ,3,FALSE)&amp;":"&amp;VLOOKUP($C$6,Grades!$A:$BZ,3,FALSE)),0,2)))</f>
        <v/>
      </c>
      <c r="U21" s="158" t="str">
        <f ca="1">IF(OR($C21="",$D$10="Salary"),"",SUMIF(INDIRECT("'Points Lookup'!"&amp;VLOOKUP($C$6,Grades!$A:$BZ,3,FALSE)&amp;":"&amp;VLOOKUP($C$6,Grades!$A:$BZ,3,FALSE)),$C21,OFFSET(INDIRECT("'Points Lookup'!"&amp;VLOOKUP($C$6,Grades!$A:$BZ,3,FALSE)&amp;":"&amp;VLOOKUP($C$6,Grades!$A:$BZ,3,FALSE)),0,4)))</f>
        <v/>
      </c>
      <c r="V21" s="159" t="str">
        <f t="shared" ca="1" si="5"/>
        <v/>
      </c>
    </row>
    <row r="22" spans="2:22" x14ac:dyDescent="0.25">
      <c r="B22" s="156">
        <v>12</v>
      </c>
      <c r="C22" s="50" t="str">
        <f ca="1">IFERROR(INDEX('Points Lookup'!$A:$A,MATCH($B22,'Points Lookup'!$AR:$AR,0)),"")</f>
        <v/>
      </c>
      <c r="D22" s="251" t="str">
        <f ca="1">IF(C22="","",SUMIF(INDIRECT("'Points Lookup'!"&amp;VLOOKUP($C$6,Grades!A:BZ,3,FALSE)&amp;":"&amp;VLOOKUP($C$6,Grades!A:BZ,3,FALSE)),C22,INDIRECT("'Points Lookup'!"&amp;VLOOKUP($C$6,Grades!A:BZ,4,FALSE)&amp;":"&amp;VLOOKUP($C$6,Grades!A:Z,4,FALSE))))</f>
        <v/>
      </c>
      <c r="E22" s="251"/>
      <c r="F22" s="251" t="str">
        <f ca="1">IF($C22="","",IF(SUMIF(Grades!$A:$A,$C$6,Grades!$BU:$BU)=0,"-",IF(AND(VLOOKUP($C$6,Grades!$A:$BZ,77,FALSE)="YES",C22&lt;Thresholds_Rates!$C$13),"-",$D22*Thresholds_Rates!$F$12)))</f>
        <v/>
      </c>
      <c r="G22" s="251" t="str">
        <f ca="1">IF(C22="","",IF(OR($C$6="Salary Points 3 to 57",$C$6="Salary Points 3 to 57 (post-pay award)"),"-",IF(SUMIF(Grades!$A:$A,$C$6,Grades!$BV:$BV)=0,"-",$D22*Thresholds_Rates!$F$13)))</f>
        <v/>
      </c>
      <c r="H22" s="251" t="str">
        <f ca="1">IF(C22="","",IF($C$6="Apprenticeship","-",IF(SUMIF(Grades!$A:$A,$C$6,Grades!$BW:$BW)=0,"-",IF(AND(VLOOKUP($C$6,Grades!$A:$BZ,77,FALSE)="YES",C22&gt;Thresholds_Rates!$C$14),"-",$D22*Thresholds_Rates!$F$14))))</f>
        <v/>
      </c>
      <c r="I22" s="251" t="str">
        <f ca="1">IF($C22="","",IF($D22=0,0,ROUND(($D22-(Thresholds_Rates!$C$4*12))*Thresholds_Rates!$C$7,0)))</f>
        <v/>
      </c>
      <c r="J22" s="251" t="str">
        <f ca="1">IF(C22="","",(D22*Thresholds_Rates!$C$9))</f>
        <v/>
      </c>
      <c r="K22" s="251" t="str">
        <f ca="1">IF(C22="","",IF(SUMIF(Grades!$A:$A,$C$6,Grades!$BX:$BX)=0,"-",IF(AND(VLOOKUP($C$6,Grades!$A:$BZ,77,FALSE)="YES",C22&gt;Thresholds_Rates!$C$14),"-",$D22*Thresholds_Rates!$F$15)))</f>
        <v/>
      </c>
      <c r="L22" s="251"/>
      <c r="M22" s="251" t="str">
        <f t="shared" ca="1" si="0"/>
        <v/>
      </c>
      <c r="N22" s="251" t="str">
        <f t="shared" ca="1" si="1"/>
        <v/>
      </c>
      <c r="O22" s="251" t="str">
        <f t="shared" ca="1" si="2"/>
        <v/>
      </c>
      <c r="P22" s="251" t="str">
        <f t="shared" ca="1" si="3"/>
        <v/>
      </c>
      <c r="Q22" s="251" t="str">
        <f t="shared" ca="1" si="4"/>
        <v/>
      </c>
      <c r="S22" s="158" t="str">
        <f ca="1">IF(OR($C22="",$D$10="Salary"),"",SUMIF(INDIRECT("'Points Lookup'!"&amp;VLOOKUP($C$6,Grades!$A:$BZ,3,FALSE)&amp;":"&amp;VLOOKUP($C$6,Grades!$A:$BZ,3,FALSE)),$C22,OFFSET(INDIRECT("'Points Lookup'!"&amp;VLOOKUP($C$6,Grades!$A:$BZ,3,FALSE)&amp;":"&amp;VLOOKUP($C$6,Grades!$A:$BZ,3,FALSE)),0,1)))</f>
        <v/>
      </c>
      <c r="T22" s="159" t="str">
        <f ca="1">IF(OR($C22="",$D$10="Salary"),"",$D22-SUMIF(INDIRECT("'Points Lookup'!"&amp;VLOOKUP($C$6,Grades!$A:$BZ,3,FALSE)&amp;":"&amp;VLOOKUP($C$6,Grades!$A:$BZ,3,FALSE)),$C22,OFFSET(INDIRECT("'Points Lookup'!"&amp;VLOOKUP($C$6,Grades!$A:$BZ,3,FALSE)&amp;":"&amp;VLOOKUP($C$6,Grades!$A:$BZ,3,FALSE)),0,2)))</f>
        <v/>
      </c>
      <c r="U22" s="158" t="str">
        <f ca="1">IF(OR($C22="",$D$10="Salary"),"",SUMIF(INDIRECT("'Points Lookup'!"&amp;VLOOKUP($C$6,Grades!$A:$BZ,3,FALSE)&amp;":"&amp;VLOOKUP($C$6,Grades!$A:$BZ,3,FALSE)),$C22,OFFSET(INDIRECT("'Points Lookup'!"&amp;VLOOKUP($C$6,Grades!$A:$BZ,3,FALSE)&amp;":"&amp;VLOOKUP($C$6,Grades!$A:$BZ,3,FALSE)),0,4)))</f>
        <v/>
      </c>
      <c r="V22" s="159" t="str">
        <f t="shared" ca="1" si="5"/>
        <v/>
      </c>
    </row>
    <row r="23" spans="2:22" x14ac:dyDescent="0.25">
      <c r="B23" s="156">
        <v>13</v>
      </c>
      <c r="C23" s="50" t="str">
        <f ca="1">IFERROR(INDEX('Points Lookup'!$A:$A,MATCH($B23,'Points Lookup'!$AR:$AR,0)),"")</f>
        <v/>
      </c>
      <c r="D23" s="251" t="str">
        <f ca="1">IF(C23="","",SUMIF(INDIRECT("'Points Lookup'!"&amp;VLOOKUP($C$6,Grades!A:BZ,3,FALSE)&amp;":"&amp;VLOOKUP($C$6,Grades!A:BZ,3,FALSE)),C23,INDIRECT("'Points Lookup'!"&amp;VLOOKUP($C$6,Grades!A:BZ,4,FALSE)&amp;":"&amp;VLOOKUP($C$6,Grades!A:Z,4,FALSE))))</f>
        <v/>
      </c>
      <c r="E23" s="251"/>
      <c r="F23" s="251" t="str">
        <f ca="1">IF($C23="","",IF(SUMIF(Grades!$A:$A,$C$6,Grades!$BU:$BU)=0,"-",IF(AND(VLOOKUP($C$6,Grades!$A:$BZ,77,FALSE)="YES",C23&lt;Thresholds_Rates!$C$13),"-",$D23*Thresholds_Rates!$F$12)))</f>
        <v/>
      </c>
      <c r="G23" s="251" t="str">
        <f ca="1">IF(C23="","",IF(OR($C$6="Salary Points 3 to 57",$C$6="Salary Points 3 to 57 (post-pay award)"),"-",IF(SUMIF(Grades!$A:$A,$C$6,Grades!$BV:$BV)=0,"-",$D23*Thresholds_Rates!$F$13)))</f>
        <v/>
      </c>
      <c r="H23" s="251" t="str">
        <f ca="1">IF(C23="","",IF($C$6="Apprenticeship","-",IF(SUMIF(Grades!$A:$A,$C$6,Grades!$BW:$BW)=0,"-",IF(AND(VLOOKUP($C$6,Grades!$A:$BZ,77,FALSE)="YES",C23&gt;Thresholds_Rates!$C$14),"-",$D23*Thresholds_Rates!$F$14))))</f>
        <v/>
      </c>
      <c r="I23" s="251" t="str">
        <f ca="1">IF($C23="","",IF($D23=0,0,ROUND(($D23-(Thresholds_Rates!$C$4*12))*Thresholds_Rates!$C$7,0)))</f>
        <v/>
      </c>
      <c r="J23" s="251" t="str">
        <f ca="1">IF(C23="","",(D23*Thresholds_Rates!$C$9))</f>
        <v/>
      </c>
      <c r="K23" s="251" t="str">
        <f ca="1">IF(C23="","",IF(SUMIF(Grades!$A:$A,$C$6,Grades!$BX:$BX)=0,"-",IF(AND(VLOOKUP($C$6,Grades!$A:$BZ,77,FALSE)="YES",C23&gt;Thresholds_Rates!$C$14),"-",$D23*Thresholds_Rates!$F$15)))</f>
        <v/>
      </c>
      <c r="L23" s="251"/>
      <c r="M23" s="251" t="str">
        <f t="shared" ca="1" si="0"/>
        <v/>
      </c>
      <c r="N23" s="251" t="str">
        <f t="shared" ca="1" si="1"/>
        <v/>
      </c>
      <c r="O23" s="251" t="str">
        <f t="shared" ca="1" si="2"/>
        <v/>
      </c>
      <c r="P23" s="251" t="str">
        <f t="shared" ca="1" si="3"/>
        <v/>
      </c>
      <c r="Q23" s="251" t="str">
        <f t="shared" ca="1" si="4"/>
        <v/>
      </c>
      <c r="S23" s="158" t="str">
        <f ca="1">IF(OR($C23="",$D$10="Salary"),"",SUMIF(INDIRECT("'Points Lookup'!"&amp;VLOOKUP($C$6,Grades!$A:$BZ,3,FALSE)&amp;":"&amp;VLOOKUP($C$6,Grades!$A:$BZ,3,FALSE)),$C23,OFFSET(INDIRECT("'Points Lookup'!"&amp;VLOOKUP($C$6,Grades!$A:$BZ,3,FALSE)&amp;":"&amp;VLOOKUP($C$6,Grades!$A:$BZ,3,FALSE)),0,1)))</f>
        <v/>
      </c>
      <c r="T23" s="159" t="str">
        <f ca="1">IF(OR($C23="",$D$10="Salary"),"",$D23-SUMIF(INDIRECT("'Points Lookup'!"&amp;VLOOKUP($C$6,Grades!$A:$BZ,3,FALSE)&amp;":"&amp;VLOOKUP($C$6,Grades!$A:$BZ,3,FALSE)),$C23,OFFSET(INDIRECT("'Points Lookup'!"&amp;VLOOKUP($C$6,Grades!$A:$BZ,3,FALSE)&amp;":"&amp;VLOOKUP($C$6,Grades!$A:$BZ,3,FALSE)),0,2)))</f>
        <v/>
      </c>
      <c r="U23" s="158" t="str">
        <f ca="1">IF(OR($C23="",$D$10="Salary"),"",SUMIF(INDIRECT("'Points Lookup'!"&amp;VLOOKUP($C$6,Grades!$A:$BZ,3,FALSE)&amp;":"&amp;VLOOKUP($C$6,Grades!$A:$BZ,3,FALSE)),$C23,OFFSET(INDIRECT("'Points Lookup'!"&amp;VLOOKUP($C$6,Grades!$A:$BZ,3,FALSE)&amp;":"&amp;VLOOKUP($C$6,Grades!$A:$BZ,3,FALSE)),0,4)))</f>
        <v/>
      </c>
      <c r="V23" s="159" t="str">
        <f t="shared" ca="1" si="5"/>
        <v/>
      </c>
    </row>
    <row r="24" spans="2:22" x14ac:dyDescent="0.25">
      <c r="B24" s="156">
        <v>14</v>
      </c>
      <c r="C24" s="50" t="str">
        <f ca="1">IFERROR(INDEX('Points Lookup'!$A:$A,MATCH($B24,'Points Lookup'!$AR:$AR,0)),"")</f>
        <v/>
      </c>
      <c r="D24" s="251" t="str">
        <f ca="1">IF(C24="","",SUMIF(INDIRECT("'Points Lookup'!"&amp;VLOOKUP($C$6,Grades!A:BZ,3,FALSE)&amp;":"&amp;VLOOKUP($C$6,Grades!A:BZ,3,FALSE)),C24,INDIRECT("'Points Lookup'!"&amp;VLOOKUP($C$6,Grades!A:BZ,4,FALSE)&amp;":"&amp;VLOOKUP($C$6,Grades!A:Z,4,FALSE))))</f>
        <v/>
      </c>
      <c r="E24" s="251"/>
      <c r="F24" s="251" t="str">
        <f ca="1">IF($C24="","",IF(SUMIF(Grades!$A:$A,$C$6,Grades!$BU:$BU)=0,"-",IF(AND(VLOOKUP($C$6,Grades!$A:$BZ,77,FALSE)="YES",C24&lt;Thresholds_Rates!$C$13),"-",$D24*Thresholds_Rates!$F$12)))</f>
        <v/>
      </c>
      <c r="G24" s="251" t="str">
        <f ca="1">IF(C24="","",IF(OR($C$6="Salary Points 3 to 57",$C$6="Salary Points 3 to 57 (post-pay award)"),"-",IF(SUMIF(Grades!$A:$A,$C$6,Grades!$BV:$BV)=0,"-",$D24*Thresholds_Rates!$F$13)))</f>
        <v/>
      </c>
      <c r="H24" s="251" t="str">
        <f ca="1">IF(C24="","",IF($C$6="Apprenticeship","-",IF(SUMIF(Grades!$A:$A,$C$6,Grades!$BW:$BW)=0,"-",IF(AND(VLOOKUP($C$6,Grades!$A:$BZ,77,FALSE)="YES",C24&gt;Thresholds_Rates!$C$14),"-",$D24*Thresholds_Rates!$F$14))))</f>
        <v/>
      </c>
      <c r="I24" s="251" t="str">
        <f ca="1">IF($C24="","",IF($D24=0,0,ROUND(($D24-(Thresholds_Rates!$C$4*12))*Thresholds_Rates!$C$7,0)))</f>
        <v/>
      </c>
      <c r="J24" s="251" t="str">
        <f ca="1">IF(C24="","",(D24*Thresholds_Rates!$C$9))</f>
        <v/>
      </c>
      <c r="K24" s="251" t="str">
        <f ca="1">IF(C24="","",IF(SUMIF(Grades!$A:$A,$C$6,Grades!$BX:$BX)=0,"-",IF(AND(VLOOKUP($C$6,Grades!$A:$BZ,77,FALSE)="YES",C24&gt;Thresholds_Rates!$C$14),"-",$D24*Thresholds_Rates!$F$15)))</f>
        <v/>
      </c>
      <c r="L24" s="251"/>
      <c r="M24" s="251" t="str">
        <f t="shared" ca="1" si="0"/>
        <v/>
      </c>
      <c r="N24" s="251" t="str">
        <f t="shared" ca="1" si="1"/>
        <v/>
      </c>
      <c r="O24" s="251" t="str">
        <f t="shared" ca="1" si="2"/>
        <v/>
      </c>
      <c r="P24" s="251" t="str">
        <f t="shared" ca="1" si="3"/>
        <v/>
      </c>
      <c r="Q24" s="251" t="str">
        <f t="shared" ca="1" si="4"/>
        <v/>
      </c>
      <c r="S24" s="158" t="str">
        <f ca="1">IF(OR($C24="",$D$10="Salary"),"",SUMIF(INDIRECT("'Points Lookup'!"&amp;VLOOKUP($C$6,Grades!$A:$BZ,3,FALSE)&amp;":"&amp;VLOOKUP($C$6,Grades!$A:$BZ,3,FALSE)),$C24,OFFSET(INDIRECT("'Points Lookup'!"&amp;VLOOKUP($C$6,Grades!$A:$BZ,3,FALSE)&amp;":"&amp;VLOOKUP($C$6,Grades!$A:$BZ,3,FALSE)),0,1)))</f>
        <v/>
      </c>
      <c r="T24" s="159" t="str">
        <f ca="1">IF(OR($C24="",$D$10="Salary"),"",$D24-SUMIF(INDIRECT("'Points Lookup'!"&amp;VLOOKUP($C$6,Grades!$A:$BZ,3,FALSE)&amp;":"&amp;VLOOKUP($C$6,Grades!$A:$BZ,3,FALSE)),$C24,OFFSET(INDIRECT("'Points Lookup'!"&amp;VLOOKUP($C$6,Grades!$A:$BZ,3,FALSE)&amp;":"&amp;VLOOKUP($C$6,Grades!$A:$BZ,3,FALSE)),0,2)))</f>
        <v/>
      </c>
      <c r="U24" s="158" t="str">
        <f ca="1">IF(OR($C24="",$D$10="Salary"),"",SUMIF(INDIRECT("'Points Lookup'!"&amp;VLOOKUP($C$6,Grades!$A:$BZ,3,FALSE)&amp;":"&amp;VLOOKUP($C$6,Grades!$A:$BZ,3,FALSE)),$C24,OFFSET(INDIRECT("'Points Lookup'!"&amp;VLOOKUP($C$6,Grades!$A:$BZ,3,FALSE)&amp;":"&amp;VLOOKUP($C$6,Grades!$A:$BZ,3,FALSE)),0,4)))</f>
        <v/>
      </c>
      <c r="V24" s="159" t="str">
        <f t="shared" ca="1" si="5"/>
        <v/>
      </c>
    </row>
    <row r="25" spans="2:22" x14ac:dyDescent="0.25">
      <c r="B25" s="156">
        <v>15</v>
      </c>
      <c r="C25" s="50" t="str">
        <f ca="1">IFERROR(INDEX('Points Lookup'!$A:$A,MATCH($B25,'Points Lookup'!$AR:$AR,0)),"")</f>
        <v/>
      </c>
      <c r="D25" s="251" t="str">
        <f ca="1">IF(C25="","",SUMIF(INDIRECT("'Points Lookup'!"&amp;VLOOKUP($C$6,Grades!A:BZ,3,FALSE)&amp;":"&amp;VLOOKUP($C$6,Grades!A:BZ,3,FALSE)),C25,INDIRECT("'Points Lookup'!"&amp;VLOOKUP($C$6,Grades!A:BZ,4,FALSE)&amp;":"&amp;VLOOKUP($C$6,Grades!A:Z,4,FALSE))))</f>
        <v/>
      </c>
      <c r="E25" s="251"/>
      <c r="F25" s="251" t="str">
        <f ca="1">IF($C25="","",IF(SUMIF(Grades!$A:$A,$C$6,Grades!$BU:$BU)=0,"-",IF(AND(VLOOKUP($C$6,Grades!$A:$BZ,77,FALSE)="YES",C25&lt;Thresholds_Rates!$C$13),"-",$D25*Thresholds_Rates!$F$12)))</f>
        <v/>
      </c>
      <c r="G25" s="251" t="str">
        <f ca="1">IF(C25="","",IF(OR($C$6="Salary Points 3 to 57",$C$6="Salary Points 3 to 57 (post-pay award)"),"-",IF(SUMIF(Grades!$A:$A,$C$6,Grades!$BV:$BV)=0,"-",$D25*Thresholds_Rates!$F$13)))</f>
        <v/>
      </c>
      <c r="H25" s="251" t="str">
        <f ca="1">IF(C25="","",IF($C$6="Apprenticeship","-",IF(SUMIF(Grades!$A:$A,$C$6,Grades!$BW:$BW)=0,"-",IF(AND(VLOOKUP($C$6,Grades!$A:$BZ,77,FALSE)="YES",C25&gt;Thresholds_Rates!$C$14),"-",$D25*Thresholds_Rates!$F$14))))</f>
        <v/>
      </c>
      <c r="I25" s="251" t="str">
        <f ca="1">IF($C25="","",IF($D25=0,0,ROUND(($D25-(Thresholds_Rates!$C$4*12))*Thresholds_Rates!$C$7,0)))</f>
        <v/>
      </c>
      <c r="J25" s="251" t="str">
        <f ca="1">IF(C25="","",(D25*Thresholds_Rates!$C$9))</f>
        <v/>
      </c>
      <c r="K25" s="251" t="str">
        <f ca="1">IF(C25="","",IF(SUMIF(Grades!$A:$A,$C$6,Grades!$BX:$BX)=0,"-",IF(AND(VLOOKUP($C$6,Grades!$A:$BZ,77,FALSE)="YES",C25&gt;Thresholds_Rates!$C$14),"-",$D25*Thresholds_Rates!$F$15)))</f>
        <v/>
      </c>
      <c r="L25" s="251"/>
      <c r="M25" s="251" t="str">
        <f t="shared" ca="1" si="0"/>
        <v/>
      </c>
      <c r="N25" s="251" t="str">
        <f t="shared" ca="1" si="1"/>
        <v/>
      </c>
      <c r="O25" s="251" t="str">
        <f t="shared" ca="1" si="2"/>
        <v/>
      </c>
      <c r="P25" s="251" t="str">
        <f t="shared" ca="1" si="3"/>
        <v/>
      </c>
      <c r="Q25" s="251" t="str">
        <f t="shared" ca="1" si="4"/>
        <v/>
      </c>
      <c r="S25" s="158" t="str">
        <f ca="1">IF(OR($C25="",$D$10="Salary"),"",SUMIF(INDIRECT("'Points Lookup'!"&amp;VLOOKUP($C$6,Grades!$A:$BZ,3,FALSE)&amp;":"&amp;VLOOKUP($C$6,Grades!$A:$BZ,3,FALSE)),$C25,OFFSET(INDIRECT("'Points Lookup'!"&amp;VLOOKUP($C$6,Grades!$A:$BZ,3,FALSE)&amp;":"&amp;VLOOKUP($C$6,Grades!$A:$BZ,3,FALSE)),0,1)))</f>
        <v/>
      </c>
      <c r="T25" s="159" t="str">
        <f ca="1">IF(OR($C25="",$D$10="Salary"),"",$D25-SUMIF(INDIRECT("'Points Lookup'!"&amp;VLOOKUP($C$6,Grades!$A:$BZ,3,FALSE)&amp;":"&amp;VLOOKUP($C$6,Grades!$A:$BZ,3,FALSE)),$C25,OFFSET(INDIRECT("'Points Lookup'!"&amp;VLOOKUP($C$6,Grades!$A:$BZ,3,FALSE)&amp;":"&amp;VLOOKUP($C$6,Grades!$A:$BZ,3,FALSE)),0,2)))</f>
        <v/>
      </c>
      <c r="U25" s="158" t="str">
        <f ca="1">IF(OR($C25="",$D$10="Salary"),"",SUMIF(INDIRECT("'Points Lookup'!"&amp;VLOOKUP($C$6,Grades!$A:$BZ,3,FALSE)&amp;":"&amp;VLOOKUP($C$6,Grades!$A:$BZ,3,FALSE)),$C25,OFFSET(INDIRECT("'Points Lookup'!"&amp;VLOOKUP($C$6,Grades!$A:$BZ,3,FALSE)&amp;":"&amp;VLOOKUP($C$6,Grades!$A:$BZ,3,FALSE)),0,4)))</f>
        <v/>
      </c>
      <c r="V25" s="159" t="str">
        <f t="shared" ca="1" si="5"/>
        <v/>
      </c>
    </row>
    <row r="26" spans="2:22" x14ac:dyDescent="0.25">
      <c r="B26" s="156">
        <v>16</v>
      </c>
      <c r="C26" s="50" t="str">
        <f ca="1">IFERROR(INDEX('Points Lookup'!$A:$A,MATCH($B26,'Points Lookup'!$AR:$AR,0)),"")</f>
        <v/>
      </c>
      <c r="D26" s="251" t="str">
        <f ca="1">IF(C26="","",SUMIF(INDIRECT("'Points Lookup'!"&amp;VLOOKUP($C$6,Grades!A:BZ,3,FALSE)&amp;":"&amp;VLOOKUP($C$6,Grades!A:BZ,3,FALSE)),C26,INDIRECT("'Points Lookup'!"&amp;VLOOKUP($C$6,Grades!A:BZ,4,FALSE)&amp;":"&amp;VLOOKUP($C$6,Grades!A:Z,4,FALSE))))</f>
        <v/>
      </c>
      <c r="E26" s="251"/>
      <c r="F26" s="251" t="str">
        <f ca="1">IF($C26="","",IF(SUMIF(Grades!$A:$A,$C$6,Grades!$BU:$BU)=0,"-",IF(AND(VLOOKUP($C$6,Grades!$A:$BZ,77,FALSE)="YES",C26&lt;Thresholds_Rates!$C$13),"-",$D26*Thresholds_Rates!$F$12)))</f>
        <v/>
      </c>
      <c r="G26" s="251" t="str">
        <f ca="1">IF(C26="","",IF(OR($C$6="Salary Points 3 to 57",$C$6="Salary Points 3 to 57 (post-pay award)"),"-",IF(SUMIF(Grades!$A:$A,$C$6,Grades!$BV:$BV)=0,"-",$D26*Thresholds_Rates!$F$13)))</f>
        <v/>
      </c>
      <c r="H26" s="251" t="str">
        <f ca="1">IF(C26="","",IF($C$6="Apprenticeship","-",IF(SUMIF(Grades!$A:$A,$C$6,Grades!$BW:$BW)=0,"-",IF(AND(VLOOKUP($C$6,Grades!$A:$BZ,77,FALSE)="YES",C26&gt;Thresholds_Rates!$C$14),"-",$D26*Thresholds_Rates!$F$14))))</f>
        <v/>
      </c>
      <c r="I26" s="251" t="str">
        <f ca="1">IF($C26="","",IF($D26=0,0,ROUND(($D26-(Thresholds_Rates!$C$4*12))*Thresholds_Rates!$C$7,0)))</f>
        <v/>
      </c>
      <c r="J26" s="251" t="str">
        <f ca="1">IF(C26="","",(D26*Thresholds_Rates!$C$9))</f>
        <v/>
      </c>
      <c r="K26" s="251" t="str">
        <f ca="1">IF(C26="","",IF(SUMIF(Grades!$A:$A,$C$6,Grades!$BX:$BX)=0,"-",IF(AND(VLOOKUP($C$6,Grades!$A:$BZ,77,FALSE)="YES",C26&gt;Thresholds_Rates!$C$14),"-",$D26*Thresholds_Rates!$F$15)))</f>
        <v/>
      </c>
      <c r="L26" s="251"/>
      <c r="M26" s="251" t="str">
        <f t="shared" ca="1" si="0"/>
        <v/>
      </c>
      <c r="N26" s="251" t="str">
        <f t="shared" ca="1" si="1"/>
        <v/>
      </c>
      <c r="O26" s="251" t="str">
        <f t="shared" ca="1" si="2"/>
        <v/>
      </c>
      <c r="P26" s="251" t="str">
        <f t="shared" ca="1" si="3"/>
        <v/>
      </c>
      <c r="Q26" s="251" t="str">
        <f t="shared" ca="1" si="4"/>
        <v/>
      </c>
      <c r="S26" s="158" t="str">
        <f ca="1">IF(OR($C26="",$D$10="Salary"),"",SUMIF(INDIRECT("'Points Lookup'!"&amp;VLOOKUP($C$6,Grades!$A:$BZ,3,FALSE)&amp;":"&amp;VLOOKUP($C$6,Grades!$A:$BZ,3,FALSE)),$C26,OFFSET(INDIRECT("'Points Lookup'!"&amp;VLOOKUP($C$6,Grades!$A:$BZ,3,FALSE)&amp;":"&amp;VLOOKUP($C$6,Grades!$A:$BZ,3,FALSE)),0,1)))</f>
        <v/>
      </c>
      <c r="T26" s="159" t="str">
        <f ca="1">IF(OR($C26="",$D$10="Salary"),"",$D26-SUMIF(INDIRECT("'Points Lookup'!"&amp;VLOOKUP($C$6,Grades!$A:$BZ,3,FALSE)&amp;":"&amp;VLOOKUP($C$6,Grades!$A:$BZ,3,FALSE)),$C26,OFFSET(INDIRECT("'Points Lookup'!"&amp;VLOOKUP($C$6,Grades!$A:$BZ,3,FALSE)&amp;":"&amp;VLOOKUP($C$6,Grades!$A:$BZ,3,FALSE)),0,2)))</f>
        <v/>
      </c>
      <c r="U26" s="158" t="str">
        <f ca="1">IF(OR($C26="",$D$10="Salary"),"",SUMIF(INDIRECT("'Points Lookup'!"&amp;VLOOKUP($C$6,Grades!$A:$BZ,3,FALSE)&amp;":"&amp;VLOOKUP($C$6,Grades!$A:$BZ,3,FALSE)),$C26,OFFSET(INDIRECT("'Points Lookup'!"&amp;VLOOKUP($C$6,Grades!$A:$BZ,3,FALSE)&amp;":"&amp;VLOOKUP($C$6,Grades!$A:$BZ,3,FALSE)),0,4)))</f>
        <v/>
      </c>
      <c r="V26" s="159" t="str">
        <f t="shared" ca="1" si="5"/>
        <v/>
      </c>
    </row>
    <row r="27" spans="2:22" x14ac:dyDescent="0.25">
      <c r="B27" s="156">
        <v>17</v>
      </c>
      <c r="C27" s="50" t="str">
        <f ca="1">IFERROR(INDEX('Points Lookup'!$A:$A,MATCH($B27,'Points Lookup'!$AR:$AR,0)),"")</f>
        <v/>
      </c>
      <c r="D27" s="251" t="str">
        <f ca="1">IF(C27="","",SUMIF(INDIRECT("'Points Lookup'!"&amp;VLOOKUP($C$6,Grades!A:BZ,3,FALSE)&amp;":"&amp;VLOOKUP($C$6,Grades!A:BZ,3,FALSE)),C27,INDIRECT("'Points Lookup'!"&amp;VLOOKUP($C$6,Grades!A:BZ,4,FALSE)&amp;":"&amp;VLOOKUP($C$6,Grades!A:Z,4,FALSE))))</f>
        <v/>
      </c>
      <c r="E27" s="251"/>
      <c r="F27" s="251" t="str">
        <f ca="1">IF($C27="","",IF(SUMIF(Grades!$A:$A,$C$6,Grades!$BU:$BU)=0,"-",IF(AND(VLOOKUP($C$6,Grades!$A:$BZ,77,FALSE)="YES",C27&lt;Thresholds_Rates!$C$13),"-",$D27*Thresholds_Rates!$F$12)))</f>
        <v/>
      </c>
      <c r="G27" s="251" t="str">
        <f ca="1">IF(C27="","",IF(OR($C$6="Salary Points 3 to 57",$C$6="Salary Points 3 to 57 (post-pay award)"),"-",IF(SUMIF(Grades!$A:$A,$C$6,Grades!$BV:$BV)=0,"-",$D27*Thresholds_Rates!$F$13)))</f>
        <v/>
      </c>
      <c r="H27" s="251" t="str">
        <f ca="1">IF(C27="","",IF($C$6="Apprenticeship","-",IF(SUMIF(Grades!$A:$A,$C$6,Grades!$BW:$BW)=0,"-",IF(AND(VLOOKUP($C$6,Grades!$A:$BZ,77,FALSE)="YES",C27&gt;Thresholds_Rates!$C$14),"-",$D27*Thresholds_Rates!$F$14))))</f>
        <v/>
      </c>
      <c r="I27" s="251" t="str">
        <f ca="1">IF($C27="","",IF($D27=0,0,ROUND(($D27-(Thresholds_Rates!$C$4*12))*Thresholds_Rates!$C$7,0)))</f>
        <v/>
      </c>
      <c r="J27" s="251" t="str">
        <f ca="1">IF(C27="","",(D27*Thresholds_Rates!$C$9))</f>
        <v/>
      </c>
      <c r="K27" s="251" t="str">
        <f ca="1">IF(C27="","",IF(SUMIF(Grades!$A:$A,$C$6,Grades!$BX:$BX)=0,"-",IF(AND(VLOOKUP($C$6,Grades!$A:$BZ,77,FALSE)="YES",C27&gt;Thresholds_Rates!$C$14),"-",$D27*Thresholds_Rates!$F$15)))</f>
        <v/>
      </c>
      <c r="L27" s="251"/>
      <c r="M27" s="251" t="str">
        <f t="shared" ca="1" si="0"/>
        <v/>
      </c>
      <c r="N27" s="251" t="str">
        <f t="shared" ca="1" si="1"/>
        <v/>
      </c>
      <c r="O27" s="251" t="str">
        <f t="shared" ca="1" si="2"/>
        <v/>
      </c>
      <c r="P27" s="251" t="str">
        <f t="shared" ca="1" si="3"/>
        <v/>
      </c>
      <c r="Q27" s="251" t="str">
        <f t="shared" ca="1" si="4"/>
        <v/>
      </c>
      <c r="S27" s="158" t="str">
        <f ca="1">IF(OR($C27="",$D$10="Salary"),"",SUMIF(INDIRECT("'Points Lookup'!"&amp;VLOOKUP($C$6,Grades!$A:$BZ,3,FALSE)&amp;":"&amp;VLOOKUP($C$6,Grades!$A:$BZ,3,FALSE)),$C27,OFFSET(INDIRECT("'Points Lookup'!"&amp;VLOOKUP($C$6,Grades!$A:$BZ,3,FALSE)&amp;":"&amp;VLOOKUP($C$6,Grades!$A:$BZ,3,FALSE)),0,1)))</f>
        <v/>
      </c>
      <c r="T27" s="159" t="str">
        <f ca="1">IF(OR($C27="",$D$10="Salary"),"",$D27-SUMIF(INDIRECT("'Points Lookup'!"&amp;VLOOKUP($C$6,Grades!$A:$BZ,3,FALSE)&amp;":"&amp;VLOOKUP($C$6,Grades!$A:$BZ,3,FALSE)),$C27,OFFSET(INDIRECT("'Points Lookup'!"&amp;VLOOKUP($C$6,Grades!$A:$BZ,3,FALSE)&amp;":"&amp;VLOOKUP($C$6,Grades!$A:$BZ,3,FALSE)),0,2)))</f>
        <v/>
      </c>
      <c r="U27" s="158" t="str">
        <f ca="1">IF(OR($C27="",$D$10="Salary"),"",SUMIF(INDIRECT("'Points Lookup'!"&amp;VLOOKUP($C$6,Grades!$A:$BZ,3,FALSE)&amp;":"&amp;VLOOKUP($C$6,Grades!$A:$BZ,3,FALSE)),$C27,OFFSET(INDIRECT("'Points Lookup'!"&amp;VLOOKUP($C$6,Grades!$A:$BZ,3,FALSE)&amp;":"&amp;VLOOKUP($C$6,Grades!$A:$BZ,3,FALSE)),0,4)))</f>
        <v/>
      </c>
      <c r="V27" s="159" t="str">
        <f t="shared" ca="1" si="5"/>
        <v/>
      </c>
    </row>
    <row r="28" spans="2:22" x14ac:dyDescent="0.25">
      <c r="B28" s="156">
        <v>18</v>
      </c>
      <c r="C28" s="50" t="str">
        <f ca="1">IFERROR(INDEX('Points Lookup'!$A:$A,MATCH($B28,'Points Lookup'!$AR:$AR,0)),"")</f>
        <v/>
      </c>
      <c r="D28" s="251" t="str">
        <f ca="1">IF(C28="","",SUMIF(INDIRECT("'Points Lookup'!"&amp;VLOOKUP($C$6,Grades!A:BZ,3,FALSE)&amp;":"&amp;VLOOKUP($C$6,Grades!A:BZ,3,FALSE)),C28,INDIRECT("'Points Lookup'!"&amp;VLOOKUP($C$6,Grades!A:BZ,4,FALSE)&amp;":"&amp;VLOOKUP($C$6,Grades!A:Z,4,FALSE))))</f>
        <v/>
      </c>
      <c r="E28" s="251"/>
      <c r="F28" s="251" t="str">
        <f ca="1">IF($C28="","",IF(SUMIF(Grades!$A:$A,$C$6,Grades!$BU:$BU)=0,"-",IF(AND(VLOOKUP($C$6,Grades!$A:$BZ,77,FALSE)="YES",C28&lt;Thresholds_Rates!$C$13),"-",$D28*Thresholds_Rates!$F$12)))</f>
        <v/>
      </c>
      <c r="G28" s="251" t="str">
        <f ca="1">IF(C28="","",IF(OR($C$6="Salary Points 3 to 57",$C$6="Salary Points 3 to 57 (post-pay award)"),"-",IF(SUMIF(Grades!$A:$A,$C$6,Grades!$BV:$BV)=0,"-",$D28*Thresholds_Rates!$F$13)))</f>
        <v/>
      </c>
      <c r="H28" s="251" t="str">
        <f ca="1">IF(C28="","",IF($C$6="Apprenticeship","-",IF(SUMIF(Grades!$A:$A,$C$6,Grades!$BW:$BW)=0,"-",IF(AND(VLOOKUP($C$6,Grades!$A:$BZ,77,FALSE)="YES",C28&gt;Thresholds_Rates!$C$14),"-",$D28*Thresholds_Rates!$F$14))))</f>
        <v/>
      </c>
      <c r="I28" s="251" t="str">
        <f ca="1">IF($C28="","",IF($D28=0,0,ROUND(($D28-(Thresholds_Rates!$C$4*12))*Thresholds_Rates!$C$7,0)))</f>
        <v/>
      </c>
      <c r="J28" s="251" t="str">
        <f ca="1">IF(C28="","",(D28*Thresholds_Rates!$C$9))</f>
        <v/>
      </c>
      <c r="K28" s="251" t="str">
        <f ca="1">IF(C28="","",IF(SUMIF(Grades!$A:$A,$C$6,Grades!$BX:$BX)=0,"-",IF(AND(VLOOKUP($C$6,Grades!$A:$BZ,77,FALSE)="YES",C28&gt;Thresholds_Rates!$C$14),"-",$D28*Thresholds_Rates!$F$15)))</f>
        <v/>
      </c>
      <c r="L28" s="251"/>
      <c r="M28" s="251" t="str">
        <f t="shared" ca="1" si="0"/>
        <v/>
      </c>
      <c r="N28" s="251" t="str">
        <f t="shared" ca="1" si="1"/>
        <v/>
      </c>
      <c r="O28" s="251" t="str">
        <f t="shared" ca="1" si="2"/>
        <v/>
      </c>
      <c r="P28" s="251" t="str">
        <f t="shared" ca="1" si="3"/>
        <v/>
      </c>
      <c r="Q28" s="251" t="str">
        <f t="shared" ca="1" si="4"/>
        <v/>
      </c>
      <c r="S28" s="158" t="str">
        <f ca="1">IF(OR($C28="",$D$10="Salary"),"",SUMIF(INDIRECT("'Points Lookup'!"&amp;VLOOKUP($C$6,Grades!$A:$BZ,3,FALSE)&amp;":"&amp;VLOOKUP($C$6,Grades!$A:$BZ,3,FALSE)),$C28,OFFSET(INDIRECT("'Points Lookup'!"&amp;VLOOKUP($C$6,Grades!$A:$BZ,3,FALSE)&amp;":"&amp;VLOOKUP($C$6,Grades!$A:$BZ,3,FALSE)),0,1)))</f>
        <v/>
      </c>
      <c r="T28" s="159" t="str">
        <f ca="1">IF(OR($C28="",$D$10="Salary"),"",$D28-SUMIF(INDIRECT("'Points Lookup'!"&amp;VLOOKUP($C$6,Grades!$A:$BZ,3,FALSE)&amp;":"&amp;VLOOKUP($C$6,Grades!$A:$BZ,3,FALSE)),$C28,OFFSET(INDIRECT("'Points Lookup'!"&amp;VLOOKUP($C$6,Grades!$A:$BZ,3,FALSE)&amp;":"&amp;VLOOKUP($C$6,Grades!$A:$BZ,3,FALSE)),0,2)))</f>
        <v/>
      </c>
      <c r="U28" s="158" t="str">
        <f ca="1">IF(OR($C28="",$D$10="Salary"),"",SUMIF(INDIRECT("'Points Lookup'!"&amp;VLOOKUP($C$6,Grades!$A:$BZ,3,FALSE)&amp;":"&amp;VLOOKUP($C$6,Grades!$A:$BZ,3,FALSE)),$C28,OFFSET(INDIRECT("'Points Lookup'!"&amp;VLOOKUP($C$6,Grades!$A:$BZ,3,FALSE)&amp;":"&amp;VLOOKUP($C$6,Grades!$A:$BZ,3,FALSE)),0,4)))</f>
        <v/>
      </c>
      <c r="V28" s="159" t="str">
        <f t="shared" ca="1" si="5"/>
        <v/>
      </c>
    </row>
    <row r="29" spans="2:22" x14ac:dyDescent="0.25">
      <c r="B29" s="156">
        <v>19</v>
      </c>
      <c r="C29" s="50" t="str">
        <f ca="1">IFERROR(INDEX('Points Lookup'!$A:$A,MATCH($B29,'Points Lookup'!$AR:$AR,0)),"")</f>
        <v/>
      </c>
      <c r="D29" s="251" t="str">
        <f ca="1">IF(C29="","",SUMIF(INDIRECT("'Points Lookup'!"&amp;VLOOKUP($C$6,Grades!A:BZ,3,FALSE)&amp;":"&amp;VLOOKUP($C$6,Grades!A:BZ,3,FALSE)),C29,INDIRECT("'Points Lookup'!"&amp;VLOOKUP($C$6,Grades!A:BZ,4,FALSE)&amp;":"&amp;VLOOKUP($C$6,Grades!A:Z,4,FALSE))))</f>
        <v/>
      </c>
      <c r="E29" s="251"/>
      <c r="F29" s="251" t="str">
        <f ca="1">IF($C29="","",IF(SUMIF(Grades!$A:$A,$C$6,Grades!$BU:$BU)=0,"-",IF(AND(VLOOKUP($C$6,Grades!$A:$BZ,77,FALSE)="YES",C29&lt;Thresholds_Rates!$C$13),"-",$D29*Thresholds_Rates!$F$12)))</f>
        <v/>
      </c>
      <c r="G29" s="251" t="str">
        <f ca="1">IF(C29="","",IF(OR($C$6="Salary Points 3 to 57",$C$6="Salary Points 3 to 57 (post-pay award)"),"-",IF(SUMIF(Grades!$A:$A,$C$6,Grades!$BV:$BV)=0,"-",$D29*Thresholds_Rates!$F$13)))</f>
        <v/>
      </c>
      <c r="H29" s="251" t="str">
        <f ca="1">IF(C29="","",IF($C$6="Apprenticeship","-",IF(SUMIF(Grades!$A:$A,$C$6,Grades!$BW:$BW)=0,"-",IF(AND(VLOOKUP($C$6,Grades!$A:$BZ,77,FALSE)="YES",C29&gt;Thresholds_Rates!$C$14),"-",$D29*Thresholds_Rates!$F$14))))</f>
        <v/>
      </c>
      <c r="I29" s="251" t="str">
        <f ca="1">IF($C29="","",IF($D29=0,0,ROUND(($D29-(Thresholds_Rates!$C$4*12))*Thresholds_Rates!$C$7,0)))</f>
        <v/>
      </c>
      <c r="J29" s="251" t="str">
        <f ca="1">IF(C29="","",(D29*Thresholds_Rates!$C$9))</f>
        <v/>
      </c>
      <c r="K29" s="251" t="str">
        <f ca="1">IF(C29="","",IF(SUMIF(Grades!$A:$A,$C$6,Grades!$BX:$BX)=0,"-",IF(AND(VLOOKUP($C$6,Grades!$A:$BZ,77,FALSE)="YES",C29&gt;Thresholds_Rates!$C$14),"-",$D29*Thresholds_Rates!$F$15)))</f>
        <v/>
      </c>
      <c r="L29" s="251"/>
      <c r="M29" s="251" t="str">
        <f t="shared" ca="1" si="0"/>
        <v/>
      </c>
      <c r="N29" s="251" t="str">
        <f t="shared" ca="1" si="1"/>
        <v/>
      </c>
      <c r="O29" s="251" t="str">
        <f t="shared" ca="1" si="2"/>
        <v/>
      </c>
      <c r="P29" s="251" t="str">
        <f t="shared" ca="1" si="3"/>
        <v/>
      </c>
      <c r="Q29" s="251" t="str">
        <f t="shared" ca="1" si="4"/>
        <v/>
      </c>
      <c r="S29" s="158" t="str">
        <f ca="1">IF(OR($C29="",$D$10="Salary"),"",SUMIF(INDIRECT("'Points Lookup'!"&amp;VLOOKUP($C$6,Grades!$A:$BZ,3,FALSE)&amp;":"&amp;VLOOKUP($C$6,Grades!$A:$BZ,3,FALSE)),$C29,OFFSET(INDIRECT("'Points Lookup'!"&amp;VLOOKUP($C$6,Grades!$A:$BZ,3,FALSE)&amp;":"&amp;VLOOKUP($C$6,Grades!$A:$BZ,3,FALSE)),0,1)))</f>
        <v/>
      </c>
      <c r="T29" s="159" t="str">
        <f ca="1">IF(OR($C29="",$D$10="Salary"),"",$D29-SUMIF(INDIRECT("'Points Lookup'!"&amp;VLOOKUP($C$6,Grades!$A:$BZ,3,FALSE)&amp;":"&amp;VLOOKUP($C$6,Grades!$A:$BZ,3,FALSE)),$C29,OFFSET(INDIRECT("'Points Lookup'!"&amp;VLOOKUP($C$6,Grades!$A:$BZ,3,FALSE)&amp;":"&amp;VLOOKUP($C$6,Grades!$A:$BZ,3,FALSE)),0,2)))</f>
        <v/>
      </c>
      <c r="U29" s="158" t="str">
        <f ca="1">IF(OR($C29="",$D$10="Salary"),"",SUMIF(INDIRECT("'Points Lookup'!"&amp;VLOOKUP($C$6,Grades!$A:$BZ,3,FALSE)&amp;":"&amp;VLOOKUP($C$6,Grades!$A:$BZ,3,FALSE)),$C29,OFFSET(INDIRECT("'Points Lookup'!"&amp;VLOOKUP($C$6,Grades!$A:$BZ,3,FALSE)&amp;":"&amp;VLOOKUP($C$6,Grades!$A:$BZ,3,FALSE)),0,4)))</f>
        <v/>
      </c>
      <c r="V29" s="159" t="str">
        <f t="shared" ca="1" si="5"/>
        <v/>
      </c>
    </row>
    <row r="30" spans="2:22" x14ac:dyDescent="0.25">
      <c r="B30" s="156">
        <v>20</v>
      </c>
      <c r="C30" s="50" t="str">
        <f ca="1">IFERROR(INDEX('Points Lookup'!$A:$A,MATCH($B30,'Points Lookup'!$AR:$AR,0)),"")</f>
        <v/>
      </c>
      <c r="D30" s="251" t="str">
        <f ca="1">IF(C30="","",SUMIF(INDIRECT("'Points Lookup'!"&amp;VLOOKUP($C$6,Grades!A:BZ,3,FALSE)&amp;":"&amp;VLOOKUP($C$6,Grades!A:BZ,3,FALSE)),C30,INDIRECT("'Points Lookup'!"&amp;VLOOKUP($C$6,Grades!A:BZ,4,FALSE)&amp;":"&amp;VLOOKUP($C$6,Grades!A:Z,4,FALSE))))</f>
        <v/>
      </c>
      <c r="E30" s="251"/>
      <c r="F30" s="251" t="str">
        <f ca="1">IF($C30="","",IF(SUMIF(Grades!$A:$A,$C$6,Grades!$BU:$BU)=0,"-",IF(AND(VLOOKUP($C$6,Grades!$A:$BZ,77,FALSE)="YES",C30&lt;Thresholds_Rates!$C$13),"-",$D30*Thresholds_Rates!$F$12)))</f>
        <v/>
      </c>
      <c r="G30" s="251" t="str">
        <f ca="1">IF(C30="","",IF(OR($C$6="Salary Points 3 to 57",$C$6="Salary Points 3 to 57 (post-pay award)"),"-",IF(SUMIF(Grades!$A:$A,$C$6,Grades!$BV:$BV)=0,"-",$D30*Thresholds_Rates!$F$13)))</f>
        <v/>
      </c>
      <c r="H30" s="251" t="str">
        <f ca="1">IF(C30="","",IF($C$6="Apprenticeship","-",IF(SUMIF(Grades!$A:$A,$C$6,Grades!$BW:$BW)=0,"-",IF(AND(VLOOKUP($C$6,Grades!$A:$BZ,77,FALSE)="YES",C30&gt;Thresholds_Rates!$C$14),"-",$D30*Thresholds_Rates!$F$14))))</f>
        <v/>
      </c>
      <c r="I30" s="251" t="str">
        <f ca="1">IF($C30="","",IF($D30=0,0,ROUND(($D30-(Thresholds_Rates!$C$4*12))*Thresholds_Rates!$C$7,0)))</f>
        <v/>
      </c>
      <c r="J30" s="251" t="str">
        <f ca="1">IF(C30="","",(D30*Thresholds_Rates!$C$9))</f>
        <v/>
      </c>
      <c r="K30" s="251" t="str">
        <f ca="1">IF(C30="","",IF(SUMIF(Grades!$A:$A,$C$6,Grades!$BX:$BX)=0,"-",IF(AND(VLOOKUP($C$6,Grades!$A:$BZ,77,FALSE)="YES",C30&gt;Thresholds_Rates!$C$14),"-",$D30*Thresholds_Rates!$F$15)))</f>
        <v/>
      </c>
      <c r="L30" s="251"/>
      <c r="M30" s="251" t="str">
        <f t="shared" ca="1" si="0"/>
        <v/>
      </c>
      <c r="N30" s="251" t="str">
        <f t="shared" ca="1" si="1"/>
        <v/>
      </c>
      <c r="O30" s="251" t="str">
        <f t="shared" ca="1" si="2"/>
        <v/>
      </c>
      <c r="P30" s="251" t="str">
        <f t="shared" ca="1" si="3"/>
        <v/>
      </c>
      <c r="Q30" s="251" t="str">
        <f t="shared" ca="1" si="4"/>
        <v/>
      </c>
      <c r="S30" s="158" t="str">
        <f ca="1">IF(OR($C30="",$D$10="Salary"),"",SUMIF(INDIRECT("'Points Lookup'!"&amp;VLOOKUP($C$6,Grades!$A:$BZ,3,FALSE)&amp;":"&amp;VLOOKUP($C$6,Grades!$A:$BZ,3,FALSE)),$C30,OFFSET(INDIRECT("'Points Lookup'!"&amp;VLOOKUP($C$6,Grades!$A:$BZ,3,FALSE)&amp;":"&amp;VLOOKUP($C$6,Grades!$A:$BZ,3,FALSE)),0,1)))</f>
        <v/>
      </c>
      <c r="T30" s="159" t="str">
        <f ca="1">IF(OR($C30="",$D$10="Salary"),"",$D30-SUMIF(INDIRECT("'Points Lookup'!"&amp;VLOOKUP($C$6,Grades!$A:$BZ,3,FALSE)&amp;":"&amp;VLOOKUP($C$6,Grades!$A:$BZ,3,FALSE)),$C30,OFFSET(INDIRECT("'Points Lookup'!"&amp;VLOOKUP($C$6,Grades!$A:$BZ,3,FALSE)&amp;":"&amp;VLOOKUP($C$6,Grades!$A:$BZ,3,FALSE)),0,2)))</f>
        <v/>
      </c>
      <c r="U30" s="158" t="str">
        <f ca="1">IF(OR($C30="",$D$10="Salary"),"",SUMIF(INDIRECT("'Points Lookup'!"&amp;VLOOKUP($C$6,Grades!$A:$BZ,3,FALSE)&amp;":"&amp;VLOOKUP($C$6,Grades!$A:$BZ,3,FALSE)),$C30,OFFSET(INDIRECT("'Points Lookup'!"&amp;VLOOKUP($C$6,Grades!$A:$BZ,3,FALSE)&amp;":"&amp;VLOOKUP($C$6,Grades!$A:$BZ,3,FALSE)),0,4)))</f>
        <v/>
      </c>
      <c r="V30" s="159" t="str">
        <f t="shared" ca="1" si="5"/>
        <v/>
      </c>
    </row>
    <row r="31" spans="2:22" x14ac:dyDescent="0.25">
      <c r="B31" s="156">
        <v>21</v>
      </c>
      <c r="C31" s="50" t="str">
        <f ca="1">IFERROR(INDEX('Points Lookup'!$A:$A,MATCH($B31,'Points Lookup'!$AR:$AR,0)),"")</f>
        <v/>
      </c>
      <c r="D31" s="251" t="str">
        <f ca="1">IF(C31="","",SUMIF(INDIRECT("'Points Lookup'!"&amp;VLOOKUP($C$6,Grades!A:BZ,3,FALSE)&amp;":"&amp;VLOOKUP($C$6,Grades!A:BZ,3,FALSE)),C31,INDIRECT("'Points Lookup'!"&amp;VLOOKUP($C$6,Grades!A:BZ,4,FALSE)&amp;":"&amp;VLOOKUP($C$6,Grades!A:Z,4,FALSE))))</f>
        <v/>
      </c>
      <c r="E31" s="251"/>
      <c r="F31" s="251" t="str">
        <f ca="1">IF($C31="","",IF(SUMIF(Grades!$A:$A,$C$6,Grades!$BU:$BU)=0,"-",IF(AND(VLOOKUP($C$6,Grades!$A:$BZ,77,FALSE)="YES",C31&lt;Thresholds_Rates!$C$13),"-",$D31*Thresholds_Rates!$F$12)))</f>
        <v/>
      </c>
      <c r="G31" s="251" t="str">
        <f ca="1">IF(C31="","",IF(OR($C$6="Salary Points 3 to 57",$C$6="Salary Points 3 to 57 (post-pay award)"),"-",IF(SUMIF(Grades!$A:$A,$C$6,Grades!$BV:$BV)=0,"-",$D31*Thresholds_Rates!$F$13)))</f>
        <v/>
      </c>
      <c r="H31" s="251" t="str">
        <f ca="1">IF(C31="","",IF($C$6="Apprenticeship","-",IF(SUMIF(Grades!$A:$A,$C$6,Grades!$BW:$BW)=0,"-",IF(AND(VLOOKUP($C$6,Grades!$A:$BZ,77,FALSE)="YES",C31&gt;Thresholds_Rates!$C$14),"-",$D31*Thresholds_Rates!$F$14))))</f>
        <v/>
      </c>
      <c r="I31" s="251" t="str">
        <f ca="1">IF($C31="","",IF($D31=0,0,ROUND(($D31-(Thresholds_Rates!$C$4*12))*Thresholds_Rates!$C$7,0)))</f>
        <v/>
      </c>
      <c r="J31" s="251" t="str">
        <f ca="1">IF(C31="","",(D31*Thresholds_Rates!$C$9))</f>
        <v/>
      </c>
      <c r="K31" s="251" t="str">
        <f ca="1">IF(C31="","",IF(SUMIF(Grades!$A:$A,$C$6,Grades!$BX:$BX)=0,"-",IF(AND(VLOOKUP($C$6,Grades!$A:$BZ,77,FALSE)="YES",C31&gt;Thresholds_Rates!$C$14),"-",$D31*Thresholds_Rates!$F$15)))</f>
        <v/>
      </c>
      <c r="L31" s="251"/>
      <c r="M31" s="251" t="str">
        <f t="shared" ca="1" si="0"/>
        <v/>
      </c>
      <c r="N31" s="251" t="str">
        <f t="shared" ca="1" si="1"/>
        <v/>
      </c>
      <c r="O31" s="251" t="str">
        <f t="shared" ca="1" si="2"/>
        <v/>
      </c>
      <c r="P31" s="251" t="str">
        <f t="shared" ca="1" si="3"/>
        <v/>
      </c>
      <c r="Q31" s="251" t="str">
        <f t="shared" ca="1" si="4"/>
        <v/>
      </c>
      <c r="S31" s="158" t="str">
        <f ca="1">IF(OR($C31="",$D$10="Salary"),"",SUMIF(INDIRECT("'Points Lookup'!"&amp;VLOOKUP($C$6,Grades!$A:$BZ,3,FALSE)&amp;":"&amp;VLOOKUP($C$6,Grades!$A:$BZ,3,FALSE)),$C31,OFFSET(INDIRECT("'Points Lookup'!"&amp;VLOOKUP($C$6,Grades!$A:$BZ,3,FALSE)&amp;":"&amp;VLOOKUP($C$6,Grades!$A:$BZ,3,FALSE)),0,1)))</f>
        <v/>
      </c>
      <c r="T31" s="159" t="str">
        <f ca="1">IF(OR($C31="",$D$10="Salary"),"",$D31-SUMIF(INDIRECT("'Points Lookup'!"&amp;VLOOKUP($C$6,Grades!$A:$BZ,3,FALSE)&amp;":"&amp;VLOOKUP($C$6,Grades!$A:$BZ,3,FALSE)),$C31,OFFSET(INDIRECT("'Points Lookup'!"&amp;VLOOKUP($C$6,Grades!$A:$BZ,3,FALSE)&amp;":"&amp;VLOOKUP($C$6,Grades!$A:$BZ,3,FALSE)),0,2)))</f>
        <v/>
      </c>
      <c r="U31" s="158" t="str">
        <f ca="1">IF(OR($C31="",$D$10="Salary"),"",SUMIF(INDIRECT("'Points Lookup'!"&amp;VLOOKUP($C$6,Grades!$A:$BZ,3,FALSE)&amp;":"&amp;VLOOKUP($C$6,Grades!$A:$BZ,3,FALSE)),$C31,OFFSET(INDIRECT("'Points Lookup'!"&amp;VLOOKUP($C$6,Grades!$A:$BZ,3,FALSE)&amp;":"&amp;VLOOKUP($C$6,Grades!$A:$BZ,3,FALSE)),0,4)))</f>
        <v/>
      </c>
      <c r="V31" s="159" t="str">
        <f t="shared" ca="1" si="5"/>
        <v/>
      </c>
    </row>
    <row r="32" spans="2:22" x14ac:dyDescent="0.25">
      <c r="B32" s="156">
        <v>22</v>
      </c>
      <c r="C32" s="50" t="str">
        <f ca="1">IFERROR(INDEX('Points Lookup'!$A:$A,MATCH($B32,'Points Lookup'!$AR:$AR,0)),"")</f>
        <v/>
      </c>
      <c r="D32" s="251" t="str">
        <f ca="1">IF(C32="","",SUMIF(INDIRECT("'Points Lookup'!"&amp;VLOOKUP($C$6,Grades!A:BZ,3,FALSE)&amp;":"&amp;VLOOKUP($C$6,Grades!A:BZ,3,FALSE)),C32,INDIRECT("'Points Lookup'!"&amp;VLOOKUP($C$6,Grades!A:BZ,4,FALSE)&amp;":"&amp;VLOOKUP($C$6,Grades!A:Z,4,FALSE))))</f>
        <v/>
      </c>
      <c r="E32" s="251"/>
      <c r="F32" s="251" t="str">
        <f ca="1">IF($C32="","",IF(SUMIF(Grades!$A:$A,$C$6,Grades!$BU:$BU)=0,"-",IF(AND(VLOOKUP($C$6,Grades!$A:$BZ,77,FALSE)="YES",C32&lt;Thresholds_Rates!$C$13),"-",$D32*Thresholds_Rates!$F$12)))</f>
        <v/>
      </c>
      <c r="G32" s="251" t="str">
        <f ca="1">IF(C32="","",IF(OR($C$6="Salary Points 3 to 57",$C$6="Salary Points 3 to 57 (post-pay award)"),"-",IF(SUMIF(Grades!$A:$A,$C$6,Grades!$BV:$BV)=0,"-",$D32*Thresholds_Rates!$F$13)))</f>
        <v/>
      </c>
      <c r="H32" s="251" t="str">
        <f ca="1">IF(C32="","",IF($C$6="Apprenticeship","-",IF(SUMIF(Grades!$A:$A,$C$6,Grades!$BW:$BW)=0,"-",IF(AND(VLOOKUP($C$6,Grades!$A:$BZ,77,FALSE)="YES",C32&gt;Thresholds_Rates!$C$14),"-",$D32*Thresholds_Rates!$F$14))))</f>
        <v/>
      </c>
      <c r="I32" s="251" t="str">
        <f ca="1">IF($C32="","",IF($D32=0,0,ROUND(($D32-(Thresholds_Rates!$C$4*12))*Thresholds_Rates!$C$7,0)))</f>
        <v/>
      </c>
      <c r="J32" s="251" t="str">
        <f ca="1">IF(C32="","",(D32*Thresholds_Rates!$C$9))</f>
        <v/>
      </c>
      <c r="K32" s="251" t="str">
        <f ca="1">IF(C32="","",IF(SUMIF(Grades!$A:$A,$C$6,Grades!$BX:$BX)=0,"-",IF(AND(VLOOKUP($C$6,Grades!$A:$BZ,77,FALSE)="YES",C32&gt;Thresholds_Rates!$C$14),"-",$D32*Thresholds_Rates!$F$15)))</f>
        <v/>
      </c>
      <c r="L32" s="251"/>
      <c r="M32" s="251" t="str">
        <f t="shared" ca="1" si="0"/>
        <v/>
      </c>
      <c r="N32" s="251" t="str">
        <f t="shared" ca="1" si="1"/>
        <v/>
      </c>
      <c r="O32" s="251" t="str">
        <f t="shared" ca="1" si="2"/>
        <v/>
      </c>
      <c r="P32" s="251" t="str">
        <f t="shared" ca="1" si="3"/>
        <v/>
      </c>
      <c r="Q32" s="251" t="str">
        <f t="shared" ca="1" si="4"/>
        <v/>
      </c>
      <c r="S32" s="158" t="str">
        <f ca="1">IF(OR($C32="",$D$10="Salary"),"",SUMIF(INDIRECT("'Points Lookup'!"&amp;VLOOKUP($C$6,Grades!$A:$BZ,3,FALSE)&amp;":"&amp;VLOOKUP($C$6,Grades!$A:$BZ,3,FALSE)),$C32,OFFSET(INDIRECT("'Points Lookup'!"&amp;VLOOKUP($C$6,Grades!$A:$BZ,3,FALSE)&amp;":"&amp;VLOOKUP($C$6,Grades!$A:$BZ,3,FALSE)),0,1)))</f>
        <v/>
      </c>
      <c r="T32" s="159" t="str">
        <f ca="1">IF(OR($C32="",$D$10="Salary"),"",$D32-SUMIF(INDIRECT("'Points Lookup'!"&amp;VLOOKUP($C$6,Grades!$A:$BZ,3,FALSE)&amp;":"&amp;VLOOKUP($C$6,Grades!$A:$BZ,3,FALSE)),$C32,OFFSET(INDIRECT("'Points Lookup'!"&amp;VLOOKUP($C$6,Grades!$A:$BZ,3,FALSE)&amp;":"&amp;VLOOKUP($C$6,Grades!$A:$BZ,3,FALSE)),0,2)))</f>
        <v/>
      </c>
      <c r="U32" s="158" t="str">
        <f ca="1">IF(OR($C32="",$D$10="Salary"),"",SUMIF(INDIRECT("'Points Lookup'!"&amp;VLOOKUP($C$6,Grades!$A:$BZ,3,FALSE)&amp;":"&amp;VLOOKUP($C$6,Grades!$A:$BZ,3,FALSE)),$C32,OFFSET(INDIRECT("'Points Lookup'!"&amp;VLOOKUP($C$6,Grades!$A:$BZ,3,FALSE)&amp;":"&amp;VLOOKUP($C$6,Grades!$A:$BZ,3,FALSE)),0,4)))</f>
        <v/>
      </c>
      <c r="V32" s="159" t="str">
        <f t="shared" ca="1" si="5"/>
        <v/>
      </c>
    </row>
    <row r="33" spans="2:22" x14ac:dyDescent="0.25">
      <c r="B33" s="156">
        <v>23</v>
      </c>
      <c r="C33" s="50" t="str">
        <f ca="1">IFERROR(INDEX('Points Lookup'!$A:$A,MATCH($B33,'Points Lookup'!$AR:$AR,0)),"")</f>
        <v/>
      </c>
      <c r="D33" s="251" t="str">
        <f ca="1">IF(C33="","",SUMIF(INDIRECT("'Points Lookup'!"&amp;VLOOKUP($C$6,Grades!A:BZ,3,FALSE)&amp;":"&amp;VLOOKUP($C$6,Grades!A:BZ,3,FALSE)),C33,INDIRECT("'Points Lookup'!"&amp;VLOOKUP($C$6,Grades!A:BZ,4,FALSE)&amp;":"&amp;VLOOKUP($C$6,Grades!A:Z,4,FALSE))))</f>
        <v/>
      </c>
      <c r="E33" s="251"/>
      <c r="F33" s="251" t="str">
        <f ca="1">IF($C33="","",IF(SUMIF(Grades!$A:$A,$C$6,Grades!$BU:$BU)=0,"-",IF(AND(VLOOKUP($C$6,Grades!$A:$BZ,77,FALSE)="YES",C33&lt;Thresholds_Rates!$C$13),"-",$D33*Thresholds_Rates!$F$12)))</f>
        <v/>
      </c>
      <c r="G33" s="251" t="str">
        <f ca="1">IF(C33="","",IF(OR($C$6="Salary Points 3 to 57",$C$6="Salary Points 3 to 57 (post-pay award)"),"-",IF(SUMIF(Grades!$A:$A,$C$6,Grades!$BV:$BV)=0,"-",$D33*Thresholds_Rates!$F$13)))</f>
        <v/>
      </c>
      <c r="H33" s="251" t="str">
        <f ca="1">IF(C33="","",IF($C$6="Apprenticeship","-",IF(SUMIF(Grades!$A:$A,$C$6,Grades!$BW:$BW)=0,"-",IF(AND(VLOOKUP($C$6,Grades!$A:$BZ,77,FALSE)="YES",C33&gt;Thresholds_Rates!$C$14),"-",$D33*Thresholds_Rates!$F$14))))</f>
        <v/>
      </c>
      <c r="I33" s="251" t="str">
        <f ca="1">IF($C33="","",IF($D33=0,0,ROUND(($D33-(Thresholds_Rates!$C$4*12))*Thresholds_Rates!$C$7,0)))</f>
        <v/>
      </c>
      <c r="J33" s="251" t="str">
        <f ca="1">IF(C33="","",(D33*Thresholds_Rates!$C$9))</f>
        <v/>
      </c>
      <c r="K33" s="251" t="str">
        <f ca="1">IF(C33="","",IF(SUMIF(Grades!$A:$A,$C$6,Grades!$BX:$BX)=0,"-",IF(AND(VLOOKUP($C$6,Grades!$A:$BZ,77,FALSE)="YES",C33&gt;Thresholds_Rates!$C$14),"-",$D33*Thresholds_Rates!$F$15)))</f>
        <v/>
      </c>
      <c r="L33" s="251"/>
      <c r="M33" s="251" t="str">
        <f t="shared" ca="1" si="0"/>
        <v/>
      </c>
      <c r="N33" s="251" t="str">
        <f t="shared" ca="1" si="1"/>
        <v/>
      </c>
      <c r="O33" s="251" t="str">
        <f t="shared" ca="1" si="2"/>
        <v/>
      </c>
      <c r="P33" s="251" t="str">
        <f t="shared" ca="1" si="3"/>
        <v/>
      </c>
      <c r="Q33" s="251" t="str">
        <f t="shared" ca="1" si="4"/>
        <v/>
      </c>
      <c r="S33" s="158" t="str">
        <f ca="1">IF(OR($C33="",$D$10="Salary"),"",SUMIF(INDIRECT("'Points Lookup'!"&amp;VLOOKUP($C$6,Grades!$A:$BZ,3,FALSE)&amp;":"&amp;VLOOKUP($C$6,Grades!$A:$BZ,3,FALSE)),$C33,OFFSET(INDIRECT("'Points Lookup'!"&amp;VLOOKUP($C$6,Grades!$A:$BZ,3,FALSE)&amp;":"&amp;VLOOKUP($C$6,Grades!$A:$BZ,3,FALSE)),0,1)))</f>
        <v/>
      </c>
      <c r="T33" s="159" t="str">
        <f ca="1">IF(OR($C33="",$D$10="Salary"),"",$D33-SUMIF(INDIRECT("'Points Lookup'!"&amp;VLOOKUP($C$6,Grades!$A:$BZ,3,FALSE)&amp;":"&amp;VLOOKUP($C$6,Grades!$A:$BZ,3,FALSE)),$C33,OFFSET(INDIRECT("'Points Lookup'!"&amp;VLOOKUP($C$6,Grades!$A:$BZ,3,FALSE)&amp;":"&amp;VLOOKUP($C$6,Grades!$A:$BZ,3,FALSE)),0,2)))</f>
        <v/>
      </c>
      <c r="U33" s="158" t="str">
        <f ca="1">IF(OR($C33="",$D$10="Salary"),"",SUMIF(INDIRECT("'Points Lookup'!"&amp;VLOOKUP($C$6,Grades!$A:$BZ,3,FALSE)&amp;":"&amp;VLOOKUP($C$6,Grades!$A:$BZ,3,FALSE)),$C33,OFFSET(INDIRECT("'Points Lookup'!"&amp;VLOOKUP($C$6,Grades!$A:$BZ,3,FALSE)&amp;":"&amp;VLOOKUP($C$6,Grades!$A:$BZ,3,FALSE)),0,4)))</f>
        <v/>
      </c>
      <c r="V33" s="159" t="str">
        <f t="shared" ca="1" si="5"/>
        <v/>
      </c>
    </row>
    <row r="34" spans="2:22" x14ac:dyDescent="0.25">
      <c r="B34" s="156">
        <v>24</v>
      </c>
      <c r="C34" s="50" t="str">
        <f ca="1">IFERROR(INDEX('Points Lookup'!$A:$A,MATCH($B34,'Points Lookup'!$AR:$AR,0)),"")</f>
        <v/>
      </c>
      <c r="D34" s="251" t="str">
        <f ca="1">IF(C34="","",SUMIF(INDIRECT("'Points Lookup'!"&amp;VLOOKUP($C$6,Grades!A:BZ,3,FALSE)&amp;":"&amp;VLOOKUP($C$6,Grades!A:BZ,3,FALSE)),C34,INDIRECT("'Points Lookup'!"&amp;VLOOKUP($C$6,Grades!A:BZ,4,FALSE)&amp;":"&amp;VLOOKUP($C$6,Grades!A:Z,4,FALSE))))</f>
        <v/>
      </c>
      <c r="E34" s="251"/>
      <c r="F34" s="251" t="str">
        <f ca="1">IF($C34="","",IF(SUMIF(Grades!$A:$A,$C$6,Grades!$BU:$BU)=0,"-",IF(AND(VLOOKUP($C$6,Grades!$A:$BZ,77,FALSE)="YES",C34&lt;Thresholds_Rates!$C$13),"-",$D34*Thresholds_Rates!$F$12)))</f>
        <v/>
      </c>
      <c r="G34" s="251" t="str">
        <f ca="1">IF(C34="","",IF(OR($C$6="Salary Points 3 to 57",$C$6="Salary Points 3 to 57 (post-pay award)"),"-",IF(SUMIF(Grades!$A:$A,$C$6,Grades!$BV:$BV)=0,"-",$D34*Thresholds_Rates!$F$13)))</f>
        <v/>
      </c>
      <c r="H34" s="251" t="str">
        <f ca="1">IF(C34="","",IF($C$6="Apprenticeship","-",IF(SUMIF(Grades!$A:$A,$C$6,Grades!$BW:$BW)=0,"-",IF(AND(VLOOKUP($C$6,Grades!$A:$BZ,77,FALSE)="YES",C34&gt;Thresholds_Rates!$C$14),"-",$D34*Thresholds_Rates!$F$14))))</f>
        <v/>
      </c>
      <c r="I34" s="251" t="str">
        <f ca="1">IF($C34="","",IF($D34=0,0,ROUND(($D34-(Thresholds_Rates!$C$4*12))*Thresholds_Rates!$C$7,0)))</f>
        <v/>
      </c>
      <c r="J34" s="251" t="str">
        <f ca="1">IF(C34="","",(D34*Thresholds_Rates!$C$9))</f>
        <v/>
      </c>
      <c r="K34" s="251" t="str">
        <f ca="1">IF(C34="","",IF(SUMIF(Grades!$A:$A,$C$6,Grades!$BX:$BX)=0,"-",IF(AND(VLOOKUP($C$6,Grades!$A:$BZ,77,FALSE)="YES",C34&gt;Thresholds_Rates!$C$14),"-",$D34*Thresholds_Rates!$F$15)))</f>
        <v/>
      </c>
      <c r="L34" s="251"/>
      <c r="M34" s="251" t="str">
        <f t="shared" ca="1" si="0"/>
        <v/>
      </c>
      <c r="N34" s="251" t="str">
        <f t="shared" ca="1" si="1"/>
        <v/>
      </c>
      <c r="O34" s="251" t="str">
        <f t="shared" ca="1" si="2"/>
        <v/>
      </c>
      <c r="P34" s="251" t="str">
        <f t="shared" ca="1" si="3"/>
        <v/>
      </c>
      <c r="Q34" s="251" t="str">
        <f t="shared" ca="1" si="4"/>
        <v/>
      </c>
      <c r="S34" s="158" t="str">
        <f ca="1">IF(OR($C34="",$D$10="Salary"),"",SUMIF(INDIRECT("'Points Lookup'!"&amp;VLOOKUP($C$6,Grades!$A:$BZ,3,FALSE)&amp;":"&amp;VLOOKUP($C$6,Grades!$A:$BZ,3,FALSE)),$C34,OFFSET(INDIRECT("'Points Lookup'!"&amp;VLOOKUP($C$6,Grades!$A:$BZ,3,FALSE)&amp;":"&amp;VLOOKUP($C$6,Grades!$A:$BZ,3,FALSE)),0,1)))</f>
        <v/>
      </c>
      <c r="T34" s="159" t="str">
        <f ca="1">IF(OR($C34="",$D$10="Salary"),"",$D34-SUMIF(INDIRECT("'Points Lookup'!"&amp;VLOOKUP($C$6,Grades!$A:$BZ,3,FALSE)&amp;":"&amp;VLOOKUP($C$6,Grades!$A:$BZ,3,FALSE)),$C34,OFFSET(INDIRECT("'Points Lookup'!"&amp;VLOOKUP($C$6,Grades!$A:$BZ,3,FALSE)&amp;":"&amp;VLOOKUP($C$6,Grades!$A:$BZ,3,FALSE)),0,2)))</f>
        <v/>
      </c>
      <c r="U34" s="158" t="str">
        <f ca="1">IF(OR($C34="",$D$10="Salary"),"",SUMIF(INDIRECT("'Points Lookup'!"&amp;VLOOKUP($C$6,Grades!$A:$BZ,3,FALSE)&amp;":"&amp;VLOOKUP($C$6,Grades!$A:$BZ,3,FALSE)),$C34,OFFSET(INDIRECT("'Points Lookup'!"&amp;VLOOKUP($C$6,Grades!$A:$BZ,3,FALSE)&amp;":"&amp;VLOOKUP($C$6,Grades!$A:$BZ,3,FALSE)),0,4)))</f>
        <v/>
      </c>
      <c r="V34" s="159" t="str">
        <f t="shared" ca="1" si="5"/>
        <v/>
      </c>
    </row>
    <row r="35" spans="2:22" x14ac:dyDescent="0.25">
      <c r="B35" s="156">
        <v>25</v>
      </c>
      <c r="C35" s="50" t="str">
        <f ca="1">IFERROR(INDEX('Points Lookup'!$A:$A,MATCH($B35,'Points Lookup'!$AR:$AR,0)),"")</f>
        <v/>
      </c>
      <c r="D35" s="251" t="str">
        <f ca="1">IF(C35="","",SUMIF(INDIRECT("'Points Lookup'!"&amp;VLOOKUP($C$6,Grades!A:BZ,3,FALSE)&amp;":"&amp;VLOOKUP($C$6,Grades!A:BZ,3,FALSE)),C35,INDIRECT("'Points Lookup'!"&amp;VLOOKUP($C$6,Grades!A:BZ,4,FALSE)&amp;":"&amp;VLOOKUP($C$6,Grades!A:Z,4,FALSE))))</f>
        <v/>
      </c>
      <c r="E35" s="251"/>
      <c r="F35" s="251" t="str">
        <f ca="1">IF($C35="","",IF(SUMIF(Grades!$A:$A,$C$6,Grades!$BU:$BU)=0,"-",IF(AND(VLOOKUP($C$6,Grades!$A:$BZ,77,FALSE)="YES",C35&lt;Thresholds_Rates!$C$13),"-",$D35*Thresholds_Rates!$F$12)))</f>
        <v/>
      </c>
      <c r="G35" s="251" t="str">
        <f ca="1">IF(C35="","",IF(OR($C$6="Salary Points 3 to 57",$C$6="Salary Points 3 to 57 (post-pay award)"),"-",IF(SUMIF(Grades!$A:$A,$C$6,Grades!$BV:$BV)=0,"-",$D35*Thresholds_Rates!$F$13)))</f>
        <v/>
      </c>
      <c r="H35" s="251" t="str">
        <f ca="1">IF(C35="","",IF($C$6="Apprenticeship","-",IF(SUMIF(Grades!$A:$A,$C$6,Grades!$BW:$BW)=0,"-",IF(AND(VLOOKUP($C$6,Grades!$A:$BZ,77,FALSE)="YES",C35&gt;Thresholds_Rates!$C$14),"-",$D35*Thresholds_Rates!$F$14))))</f>
        <v/>
      </c>
      <c r="I35" s="251" t="str">
        <f ca="1">IF($C35="","",IF($D35=0,0,ROUND(($D35-(Thresholds_Rates!$C$4*12))*Thresholds_Rates!$C$7,0)))</f>
        <v/>
      </c>
      <c r="J35" s="251" t="str">
        <f ca="1">IF(C35="","",(D35*Thresholds_Rates!$C$9))</f>
        <v/>
      </c>
      <c r="K35" s="251" t="str">
        <f ca="1">IF(C35="","",IF(SUMIF(Grades!$A:$A,$C$6,Grades!$BX:$BX)=0,"-",IF(AND(VLOOKUP($C$6,Grades!$A:$BZ,77,FALSE)="YES",C35&gt;Thresholds_Rates!$C$14),"-",$D35*Thresholds_Rates!$F$15)))</f>
        <v/>
      </c>
      <c r="L35" s="251"/>
      <c r="M35" s="251" t="str">
        <f t="shared" ca="1" si="0"/>
        <v/>
      </c>
      <c r="N35" s="251" t="str">
        <f t="shared" ca="1" si="1"/>
        <v/>
      </c>
      <c r="O35" s="251" t="str">
        <f t="shared" ca="1" si="2"/>
        <v/>
      </c>
      <c r="P35" s="251" t="str">
        <f t="shared" ca="1" si="3"/>
        <v/>
      </c>
      <c r="Q35" s="251" t="str">
        <f t="shared" ca="1" si="4"/>
        <v/>
      </c>
      <c r="S35" s="158" t="str">
        <f ca="1">IF(OR($C35="",$D$10="Salary"),"",SUMIF(INDIRECT("'Points Lookup'!"&amp;VLOOKUP($C$6,Grades!$A:$BZ,3,FALSE)&amp;":"&amp;VLOOKUP($C$6,Grades!$A:$BZ,3,FALSE)),$C35,OFFSET(INDIRECT("'Points Lookup'!"&amp;VLOOKUP($C$6,Grades!$A:$BZ,3,FALSE)&amp;":"&amp;VLOOKUP($C$6,Grades!$A:$BZ,3,FALSE)),0,1)))</f>
        <v/>
      </c>
      <c r="T35" s="159" t="str">
        <f ca="1">IF(OR($C35="",$D$10="Salary"),"",$D35-SUMIF(INDIRECT("'Points Lookup'!"&amp;VLOOKUP($C$6,Grades!$A:$BZ,3,FALSE)&amp;":"&amp;VLOOKUP($C$6,Grades!$A:$BZ,3,FALSE)),$C35,OFFSET(INDIRECT("'Points Lookup'!"&amp;VLOOKUP($C$6,Grades!$A:$BZ,3,FALSE)&amp;":"&amp;VLOOKUP($C$6,Grades!$A:$BZ,3,FALSE)),0,2)))</f>
        <v/>
      </c>
      <c r="U35" s="158" t="str">
        <f ca="1">IF(OR($C35="",$D$10="Salary"),"",SUMIF(INDIRECT("'Points Lookup'!"&amp;VLOOKUP($C$6,Grades!$A:$BZ,3,FALSE)&amp;":"&amp;VLOOKUP($C$6,Grades!$A:$BZ,3,FALSE)),$C35,OFFSET(INDIRECT("'Points Lookup'!"&amp;VLOOKUP($C$6,Grades!$A:$BZ,3,FALSE)&amp;":"&amp;VLOOKUP($C$6,Grades!$A:$BZ,3,FALSE)),0,4)))</f>
        <v/>
      </c>
      <c r="V35" s="159" t="str">
        <f t="shared" ca="1" si="5"/>
        <v/>
      </c>
    </row>
    <row r="36" spans="2:22" x14ac:dyDescent="0.25">
      <c r="B36" s="156">
        <v>26</v>
      </c>
      <c r="C36" s="50" t="str">
        <f ca="1">IFERROR(INDEX('Points Lookup'!$A:$A,MATCH($B36,'Points Lookup'!$AR:$AR,0)),"")</f>
        <v/>
      </c>
      <c r="D36" s="251" t="str">
        <f ca="1">IF(C36="","",SUMIF(INDIRECT("'Points Lookup'!"&amp;VLOOKUP($C$6,Grades!A:BZ,3,FALSE)&amp;":"&amp;VLOOKUP($C$6,Grades!A:BZ,3,FALSE)),C36,INDIRECT("'Points Lookup'!"&amp;VLOOKUP($C$6,Grades!A:BZ,4,FALSE)&amp;":"&amp;VLOOKUP($C$6,Grades!A:Z,4,FALSE))))</f>
        <v/>
      </c>
      <c r="E36" s="251"/>
      <c r="F36" s="251" t="str">
        <f ca="1">IF($C36="","",IF(SUMIF(Grades!$A:$A,$C$6,Grades!$BU:$BU)=0,"-",IF(AND(VLOOKUP($C$6,Grades!$A:$BZ,77,FALSE)="YES",C36&lt;Thresholds_Rates!$C$13),"-",$D36*Thresholds_Rates!$F$12)))</f>
        <v/>
      </c>
      <c r="G36" s="251" t="str">
        <f ca="1">IF(C36="","",IF(OR($C$6="Salary Points 3 to 57",$C$6="Salary Points 3 to 57 (post-pay award)"),"-",IF(SUMIF(Grades!$A:$A,$C$6,Grades!$BV:$BV)=0,"-",$D36*Thresholds_Rates!$F$13)))</f>
        <v/>
      </c>
      <c r="H36" s="251" t="str">
        <f ca="1">IF(C36="","",IF($C$6="Apprenticeship","-",IF(SUMIF(Grades!$A:$A,$C$6,Grades!$BW:$BW)=0,"-",IF(AND(VLOOKUP($C$6,Grades!$A:$BZ,77,FALSE)="YES",C36&gt;Thresholds_Rates!$C$14),"-",$D36*Thresholds_Rates!$F$14))))</f>
        <v/>
      </c>
      <c r="I36" s="251" t="str">
        <f ca="1">IF($C36="","",IF($D36=0,0,ROUND(($D36-(Thresholds_Rates!$C$4*12))*Thresholds_Rates!$C$7,0)))</f>
        <v/>
      </c>
      <c r="J36" s="251" t="str">
        <f ca="1">IF(C36="","",(D36*Thresholds_Rates!$C$9))</f>
        <v/>
      </c>
      <c r="K36" s="251" t="str">
        <f ca="1">IF(C36="","",IF(SUMIF(Grades!$A:$A,$C$6,Grades!$BX:$BX)=0,"-",IF(AND(VLOOKUP($C$6,Grades!$A:$BZ,77,FALSE)="YES",C36&gt;Thresholds_Rates!$C$14),"-",$D36*Thresholds_Rates!$F$15)))</f>
        <v/>
      </c>
      <c r="L36" s="251"/>
      <c r="M36" s="251" t="str">
        <f t="shared" ca="1" si="0"/>
        <v/>
      </c>
      <c r="N36" s="251" t="str">
        <f t="shared" ca="1" si="1"/>
        <v/>
      </c>
      <c r="O36" s="251" t="str">
        <f t="shared" ca="1" si="2"/>
        <v/>
      </c>
      <c r="P36" s="251" t="str">
        <f t="shared" ca="1" si="3"/>
        <v/>
      </c>
      <c r="Q36" s="251" t="str">
        <f t="shared" ca="1" si="4"/>
        <v/>
      </c>
      <c r="S36" s="158" t="str">
        <f ca="1">IF(OR($C36="",$D$10="Salary"),"",SUMIF(INDIRECT("'Points Lookup'!"&amp;VLOOKUP($C$6,Grades!$A:$BZ,3,FALSE)&amp;":"&amp;VLOOKUP($C$6,Grades!$A:$BZ,3,FALSE)),$C36,OFFSET(INDIRECT("'Points Lookup'!"&amp;VLOOKUP($C$6,Grades!$A:$BZ,3,FALSE)&amp;":"&amp;VLOOKUP($C$6,Grades!$A:$BZ,3,FALSE)),0,1)))</f>
        <v/>
      </c>
      <c r="T36" s="159" t="str">
        <f ca="1">IF(OR($C36="",$D$10="Salary"),"",$D36-SUMIF(INDIRECT("'Points Lookup'!"&amp;VLOOKUP($C$6,Grades!$A:$BZ,3,FALSE)&amp;":"&amp;VLOOKUP($C$6,Grades!$A:$BZ,3,FALSE)),$C36,OFFSET(INDIRECT("'Points Lookup'!"&amp;VLOOKUP($C$6,Grades!$A:$BZ,3,FALSE)&amp;":"&amp;VLOOKUP($C$6,Grades!$A:$BZ,3,FALSE)),0,2)))</f>
        <v/>
      </c>
      <c r="U36" s="158" t="str">
        <f ca="1">IF(OR($C36="",$D$10="Salary"),"",SUMIF(INDIRECT("'Points Lookup'!"&amp;VLOOKUP($C$6,Grades!$A:$BZ,3,FALSE)&amp;":"&amp;VLOOKUP($C$6,Grades!$A:$BZ,3,FALSE)),$C36,OFFSET(INDIRECT("'Points Lookup'!"&amp;VLOOKUP($C$6,Grades!$A:$BZ,3,FALSE)&amp;":"&amp;VLOOKUP($C$6,Grades!$A:$BZ,3,FALSE)),0,4)))</f>
        <v/>
      </c>
      <c r="V36" s="159" t="str">
        <f t="shared" ca="1" si="5"/>
        <v/>
      </c>
    </row>
    <row r="37" spans="2:22" x14ac:dyDescent="0.25">
      <c r="B37" s="156">
        <v>27</v>
      </c>
      <c r="C37" s="50" t="str">
        <f ca="1">IFERROR(INDEX('Points Lookup'!$A:$A,MATCH($B37,'Points Lookup'!$AR:$AR,0)),"")</f>
        <v/>
      </c>
      <c r="D37" s="251" t="str">
        <f ca="1">IF(C37="","",SUMIF(INDIRECT("'Points Lookup'!"&amp;VLOOKUP($C$6,Grades!A:BZ,3,FALSE)&amp;":"&amp;VLOOKUP($C$6,Grades!A:BZ,3,FALSE)),C37,INDIRECT("'Points Lookup'!"&amp;VLOOKUP($C$6,Grades!A:BZ,4,FALSE)&amp;":"&amp;VLOOKUP($C$6,Grades!A:Z,4,FALSE))))</f>
        <v/>
      </c>
      <c r="E37" s="251"/>
      <c r="F37" s="251" t="str">
        <f ca="1">IF($C37="","",IF(SUMIF(Grades!$A:$A,$C$6,Grades!$BU:$BU)=0,"-",IF(AND(VLOOKUP($C$6,Grades!$A:$BZ,77,FALSE)="YES",C37&lt;Thresholds_Rates!$C$13),"-",$D37*Thresholds_Rates!$F$12)))</f>
        <v/>
      </c>
      <c r="G37" s="251" t="str">
        <f ca="1">IF(C37="","",IF(OR($C$6="Salary Points 3 to 57",$C$6="Salary Points 3 to 57 (post-pay award)"),"-",IF(SUMIF(Grades!$A:$A,$C$6,Grades!$BV:$BV)=0,"-",$D37*Thresholds_Rates!$F$13)))</f>
        <v/>
      </c>
      <c r="H37" s="251" t="str">
        <f ca="1">IF(C37="","",IF($C$6="Apprenticeship","-",IF(SUMIF(Grades!$A:$A,$C$6,Grades!$BW:$BW)=0,"-",IF(AND(VLOOKUP($C$6,Grades!$A:$BZ,77,FALSE)="YES",C37&gt;Thresholds_Rates!$C$14),"-",$D37*Thresholds_Rates!$F$14))))</f>
        <v/>
      </c>
      <c r="I37" s="251" t="str">
        <f ca="1">IF($C37="","",IF($D37=0,0,ROUND(($D37-(Thresholds_Rates!$C$4*12))*Thresholds_Rates!$C$7,0)))</f>
        <v/>
      </c>
      <c r="J37" s="251" t="str">
        <f ca="1">IF(C37="","",(D37*Thresholds_Rates!$C$9))</f>
        <v/>
      </c>
      <c r="K37" s="251" t="str">
        <f ca="1">IF(C37="","",IF(SUMIF(Grades!$A:$A,$C$6,Grades!$BX:$BX)=0,"-",IF(AND(VLOOKUP($C$6,Grades!$A:$BZ,77,FALSE)="YES",C37&gt;Thresholds_Rates!$C$14),"-",$D37*Thresholds_Rates!$F$15)))</f>
        <v/>
      </c>
      <c r="L37" s="251"/>
      <c r="M37" s="251" t="str">
        <f t="shared" ca="1" si="0"/>
        <v/>
      </c>
      <c r="N37" s="251" t="str">
        <f t="shared" ca="1" si="1"/>
        <v/>
      </c>
      <c r="O37" s="251" t="str">
        <f t="shared" ca="1" si="2"/>
        <v/>
      </c>
      <c r="P37" s="251" t="str">
        <f t="shared" ca="1" si="3"/>
        <v/>
      </c>
      <c r="Q37" s="251" t="str">
        <f t="shared" ca="1" si="4"/>
        <v/>
      </c>
      <c r="S37" s="158" t="str">
        <f ca="1">IF(OR($C37="",$D$10="Salary"),"",SUMIF(INDIRECT("'Points Lookup'!"&amp;VLOOKUP($C$6,Grades!$A:$BZ,3,FALSE)&amp;":"&amp;VLOOKUP($C$6,Grades!$A:$BZ,3,FALSE)),$C37,OFFSET(INDIRECT("'Points Lookup'!"&amp;VLOOKUP($C$6,Grades!$A:$BZ,3,FALSE)&amp;":"&amp;VLOOKUP($C$6,Grades!$A:$BZ,3,FALSE)),0,1)))</f>
        <v/>
      </c>
      <c r="T37" s="159" t="str">
        <f ca="1">IF(OR($C37="",$D$10="Salary"),"",$D37-SUMIF(INDIRECT("'Points Lookup'!"&amp;VLOOKUP($C$6,Grades!$A:$BZ,3,FALSE)&amp;":"&amp;VLOOKUP($C$6,Grades!$A:$BZ,3,FALSE)),$C37,OFFSET(INDIRECT("'Points Lookup'!"&amp;VLOOKUP($C$6,Grades!$A:$BZ,3,FALSE)&amp;":"&amp;VLOOKUP($C$6,Grades!$A:$BZ,3,FALSE)),0,2)))</f>
        <v/>
      </c>
      <c r="U37" s="158" t="str">
        <f ca="1">IF(OR($C37="",$D$10="Salary"),"",SUMIF(INDIRECT("'Points Lookup'!"&amp;VLOOKUP($C$6,Grades!$A:$BZ,3,FALSE)&amp;":"&amp;VLOOKUP($C$6,Grades!$A:$BZ,3,FALSE)),$C37,OFFSET(INDIRECT("'Points Lookup'!"&amp;VLOOKUP($C$6,Grades!$A:$BZ,3,FALSE)&amp;":"&amp;VLOOKUP($C$6,Grades!$A:$BZ,3,FALSE)),0,4)))</f>
        <v/>
      </c>
      <c r="V37" s="159" t="str">
        <f t="shared" ca="1" si="5"/>
        <v/>
      </c>
    </row>
    <row r="38" spans="2:22" x14ac:dyDescent="0.25">
      <c r="B38" s="156">
        <v>28</v>
      </c>
      <c r="C38" s="50" t="str">
        <f ca="1">IFERROR(INDEX('Points Lookup'!$A:$A,MATCH($B38,'Points Lookup'!$AR:$AR,0)),"")</f>
        <v/>
      </c>
      <c r="D38" s="251" t="str">
        <f ca="1">IF(C38="","",SUMIF(INDIRECT("'Points Lookup'!"&amp;VLOOKUP($C$6,Grades!A:BZ,3,FALSE)&amp;":"&amp;VLOOKUP($C$6,Grades!A:BZ,3,FALSE)),C38,INDIRECT("'Points Lookup'!"&amp;VLOOKUP($C$6,Grades!A:BZ,4,FALSE)&amp;":"&amp;VLOOKUP($C$6,Grades!A:Z,4,FALSE))))</f>
        <v/>
      </c>
      <c r="E38" s="251"/>
      <c r="F38" s="251" t="str">
        <f ca="1">IF($C38="","",IF(SUMIF(Grades!$A:$A,$C$6,Grades!$BU:$BU)=0,"-",IF(AND(VLOOKUP($C$6,Grades!$A:$BZ,77,FALSE)="YES",C38&lt;Thresholds_Rates!$C$13),"-",$D38*Thresholds_Rates!$F$12)))</f>
        <v/>
      </c>
      <c r="G38" s="251" t="str">
        <f ca="1">IF(C38="","",IF(OR($C$6="Salary Points 3 to 57",$C$6="Salary Points 3 to 57 (post-pay award)"),"-",IF(SUMIF(Grades!$A:$A,$C$6,Grades!$BV:$BV)=0,"-",$D38*Thresholds_Rates!$F$13)))</f>
        <v/>
      </c>
      <c r="H38" s="251" t="str">
        <f ca="1">IF(C38="","",IF($C$6="Apprenticeship","-",IF(SUMIF(Grades!$A:$A,$C$6,Grades!$BW:$BW)=0,"-",IF(AND(VLOOKUP($C$6,Grades!$A:$BZ,77,FALSE)="YES",C38&gt;Thresholds_Rates!$C$14),"-",$D38*Thresholds_Rates!$F$14))))</f>
        <v/>
      </c>
      <c r="I38" s="251" t="str">
        <f ca="1">IF($C38="","",IF($D38=0,0,ROUND(($D38-(Thresholds_Rates!$C$4*12))*Thresholds_Rates!$C$7,0)))</f>
        <v/>
      </c>
      <c r="J38" s="251" t="str">
        <f ca="1">IF(C38="","",(D38*Thresholds_Rates!$C$9))</f>
        <v/>
      </c>
      <c r="K38" s="251" t="str">
        <f ca="1">IF(C38="","",IF(SUMIF(Grades!$A:$A,$C$6,Grades!$BX:$BX)=0,"-",IF(AND(VLOOKUP($C$6,Grades!$A:$BZ,77,FALSE)="YES",C38&gt;Thresholds_Rates!$C$14),"-",$D38*Thresholds_Rates!$F$15)))</f>
        <v/>
      </c>
      <c r="L38" s="251"/>
      <c r="M38" s="251" t="str">
        <f t="shared" ca="1" si="0"/>
        <v/>
      </c>
      <c r="N38" s="251" t="str">
        <f t="shared" ca="1" si="1"/>
        <v/>
      </c>
      <c r="O38" s="251" t="str">
        <f t="shared" ca="1" si="2"/>
        <v/>
      </c>
      <c r="P38" s="251" t="str">
        <f t="shared" ca="1" si="3"/>
        <v/>
      </c>
      <c r="Q38" s="251" t="str">
        <f t="shared" ca="1" si="4"/>
        <v/>
      </c>
      <c r="S38" s="158" t="str">
        <f ca="1">IF(OR($C38="",$D$10="Salary"),"",SUMIF(INDIRECT("'Points Lookup'!"&amp;VLOOKUP($C$6,Grades!$A:$BZ,3,FALSE)&amp;":"&amp;VLOOKUP($C$6,Grades!$A:$BZ,3,FALSE)),$C38,OFFSET(INDIRECT("'Points Lookup'!"&amp;VLOOKUP($C$6,Grades!$A:$BZ,3,FALSE)&amp;":"&amp;VLOOKUP($C$6,Grades!$A:$BZ,3,FALSE)),0,1)))</f>
        <v/>
      </c>
      <c r="T38" s="159" t="str">
        <f ca="1">IF(OR($C38="",$D$10="Salary"),"",$D38-SUMIF(INDIRECT("'Points Lookup'!"&amp;VLOOKUP($C$6,Grades!$A:$BZ,3,FALSE)&amp;":"&amp;VLOOKUP($C$6,Grades!$A:$BZ,3,FALSE)),$C38,OFFSET(INDIRECT("'Points Lookup'!"&amp;VLOOKUP($C$6,Grades!$A:$BZ,3,FALSE)&amp;":"&amp;VLOOKUP($C$6,Grades!$A:$BZ,3,FALSE)),0,2)))</f>
        <v/>
      </c>
      <c r="U38" s="158" t="str">
        <f ca="1">IF(OR($C38="",$D$10="Salary"),"",SUMIF(INDIRECT("'Points Lookup'!"&amp;VLOOKUP($C$6,Grades!$A:$BZ,3,FALSE)&amp;":"&amp;VLOOKUP($C$6,Grades!$A:$BZ,3,FALSE)),$C38,OFFSET(INDIRECT("'Points Lookup'!"&amp;VLOOKUP($C$6,Grades!$A:$BZ,3,FALSE)&amp;":"&amp;VLOOKUP($C$6,Grades!$A:$BZ,3,FALSE)),0,4)))</f>
        <v/>
      </c>
      <c r="V38" s="159" t="str">
        <f t="shared" ca="1" si="5"/>
        <v/>
      </c>
    </row>
    <row r="39" spans="2:22" x14ac:dyDescent="0.25">
      <c r="B39" s="156">
        <v>29</v>
      </c>
      <c r="C39" s="50" t="str">
        <f ca="1">IFERROR(INDEX('Points Lookup'!$A:$A,MATCH($B39,'Points Lookup'!$AR:$AR,0)),"")</f>
        <v/>
      </c>
      <c r="D39" s="251" t="str">
        <f ca="1">IF(C39="","",SUMIF(INDIRECT("'Points Lookup'!"&amp;VLOOKUP($C$6,Grades!A:BZ,3,FALSE)&amp;":"&amp;VLOOKUP($C$6,Grades!A:BZ,3,FALSE)),C39,INDIRECT("'Points Lookup'!"&amp;VLOOKUP($C$6,Grades!A:BZ,4,FALSE)&amp;":"&amp;VLOOKUP($C$6,Grades!A:Z,4,FALSE))))</f>
        <v/>
      </c>
      <c r="E39" s="251"/>
      <c r="F39" s="251" t="str">
        <f ca="1">IF($C39="","",IF(SUMIF(Grades!$A:$A,$C$6,Grades!$BU:$BU)=0,"-",IF(AND(VLOOKUP($C$6,Grades!$A:$BZ,77,FALSE)="YES",C39&lt;Thresholds_Rates!$C$13),"-",$D39*Thresholds_Rates!$F$12)))</f>
        <v/>
      </c>
      <c r="G39" s="251" t="str">
        <f ca="1">IF(C39="","",IF(OR($C$6="Salary Points 3 to 57",$C$6="Salary Points 3 to 57 (post-pay award)"),"-",IF(SUMIF(Grades!$A:$A,$C$6,Grades!$BV:$BV)=0,"-",$D39*Thresholds_Rates!$F$13)))</f>
        <v/>
      </c>
      <c r="H39" s="251" t="str">
        <f ca="1">IF(C39="","",IF($C$6="Apprenticeship","-",IF(SUMIF(Grades!$A:$A,$C$6,Grades!$BW:$BW)=0,"-",IF(AND(VLOOKUP($C$6,Grades!$A:$BZ,77,FALSE)="YES",C39&gt;Thresholds_Rates!$C$14),"-",$D39*Thresholds_Rates!$F$14))))</f>
        <v/>
      </c>
      <c r="I39" s="251" t="str">
        <f ca="1">IF($C39="","",IF($D39=0,0,ROUND(($D39-(Thresholds_Rates!$C$4*12))*Thresholds_Rates!$C$7,0)))</f>
        <v/>
      </c>
      <c r="J39" s="251" t="str">
        <f ca="1">IF(C39="","",(D39*Thresholds_Rates!$C$9))</f>
        <v/>
      </c>
      <c r="K39" s="251" t="str">
        <f ca="1">IF(C39="","",IF(SUMIF(Grades!$A:$A,$C$6,Grades!$BX:$BX)=0,"-",IF(AND(VLOOKUP($C$6,Grades!$A:$BZ,77,FALSE)="YES",C39&gt;Thresholds_Rates!$C$14),"-",$D39*Thresholds_Rates!$F$15)))</f>
        <v/>
      </c>
      <c r="L39" s="251"/>
      <c r="M39" s="251" t="str">
        <f t="shared" ca="1" si="0"/>
        <v/>
      </c>
      <c r="N39" s="251" t="str">
        <f t="shared" ca="1" si="1"/>
        <v/>
      </c>
      <c r="O39" s="251" t="str">
        <f t="shared" ca="1" si="2"/>
        <v/>
      </c>
      <c r="P39" s="251" t="str">
        <f t="shared" ca="1" si="3"/>
        <v/>
      </c>
      <c r="Q39" s="251" t="str">
        <f t="shared" ca="1" si="4"/>
        <v/>
      </c>
      <c r="S39" s="158" t="str">
        <f ca="1">IF(OR($C39="",$D$10="Salary"),"",SUMIF(INDIRECT("'Points Lookup'!"&amp;VLOOKUP($C$6,Grades!$A:$BZ,3,FALSE)&amp;":"&amp;VLOOKUP($C$6,Grades!$A:$BZ,3,FALSE)),$C39,OFFSET(INDIRECT("'Points Lookup'!"&amp;VLOOKUP($C$6,Grades!$A:$BZ,3,FALSE)&amp;":"&amp;VLOOKUP($C$6,Grades!$A:$BZ,3,FALSE)),0,1)))</f>
        <v/>
      </c>
      <c r="T39" s="159" t="str">
        <f ca="1">IF(OR($C39="",$D$10="Salary"),"",$D39-SUMIF(INDIRECT("'Points Lookup'!"&amp;VLOOKUP($C$6,Grades!$A:$BZ,3,FALSE)&amp;":"&amp;VLOOKUP($C$6,Grades!$A:$BZ,3,FALSE)),$C39,OFFSET(INDIRECT("'Points Lookup'!"&amp;VLOOKUP($C$6,Grades!$A:$BZ,3,FALSE)&amp;":"&amp;VLOOKUP($C$6,Grades!$A:$BZ,3,FALSE)),0,2)))</f>
        <v/>
      </c>
      <c r="U39" s="158" t="str">
        <f ca="1">IF(OR($C39="",$D$10="Salary"),"",SUMIF(INDIRECT("'Points Lookup'!"&amp;VLOOKUP($C$6,Grades!$A:$BZ,3,FALSE)&amp;":"&amp;VLOOKUP($C$6,Grades!$A:$BZ,3,FALSE)),$C39,OFFSET(INDIRECT("'Points Lookup'!"&amp;VLOOKUP($C$6,Grades!$A:$BZ,3,FALSE)&amp;":"&amp;VLOOKUP($C$6,Grades!$A:$BZ,3,FALSE)),0,4)))</f>
        <v/>
      </c>
      <c r="V39" s="159" t="str">
        <f t="shared" ca="1" si="5"/>
        <v/>
      </c>
    </row>
    <row r="40" spans="2:22" x14ac:dyDescent="0.25">
      <c r="B40" s="156">
        <v>30</v>
      </c>
      <c r="C40" s="50" t="str">
        <f ca="1">IFERROR(INDEX('Points Lookup'!$A:$A,MATCH($B40,'Points Lookup'!$AR:$AR,0)),"")</f>
        <v/>
      </c>
      <c r="D40" s="251" t="str">
        <f ca="1">IF(C40="","",SUMIF(INDIRECT("'Points Lookup'!"&amp;VLOOKUP($C$6,Grades!A:BZ,3,FALSE)&amp;":"&amp;VLOOKUP($C$6,Grades!A:BZ,3,FALSE)),C40,INDIRECT("'Points Lookup'!"&amp;VLOOKUP($C$6,Grades!A:BZ,4,FALSE)&amp;":"&amp;VLOOKUP($C$6,Grades!A:Z,4,FALSE))))</f>
        <v/>
      </c>
      <c r="E40" s="251"/>
      <c r="F40" s="251" t="str">
        <f ca="1">IF($C40="","",IF(SUMIF(Grades!$A:$A,$C$6,Grades!$BU:$BU)=0,"-",IF(AND(VLOOKUP($C$6,Grades!$A:$BZ,77,FALSE)="YES",C40&lt;Thresholds_Rates!$C$13),"-",$D40*Thresholds_Rates!$F$12)))</f>
        <v/>
      </c>
      <c r="G40" s="251" t="str">
        <f ca="1">IF(C40="","",IF(OR($C$6="Salary Points 3 to 57",$C$6="Salary Points 3 to 57 (post-pay award)"),"-",IF(SUMIF(Grades!$A:$A,$C$6,Grades!$BV:$BV)=0,"-",$D40*Thresholds_Rates!$F$13)))</f>
        <v/>
      </c>
      <c r="H40" s="251" t="str">
        <f ca="1">IF(C40="","",IF($C$6="Apprenticeship","-",IF(SUMIF(Grades!$A:$A,$C$6,Grades!$BW:$BW)=0,"-",IF(AND(VLOOKUP($C$6,Grades!$A:$BZ,77,FALSE)="YES",C40&gt;Thresholds_Rates!$C$14),"-",$D40*Thresholds_Rates!$F$14))))</f>
        <v/>
      </c>
      <c r="I40" s="251" t="str">
        <f ca="1">IF($C40="","",IF($D40=0,0,ROUND(($D40-(Thresholds_Rates!$C$4*12))*Thresholds_Rates!$C$7,0)))</f>
        <v/>
      </c>
      <c r="J40" s="251" t="str">
        <f ca="1">IF(C40="","",(D40*Thresholds_Rates!$C$9))</f>
        <v/>
      </c>
      <c r="K40" s="251" t="str">
        <f ca="1">IF(C40="","",IF(SUMIF(Grades!$A:$A,$C$6,Grades!$BX:$BX)=0,"-",IF(AND(VLOOKUP($C$6,Grades!$A:$BZ,77,FALSE)="YES",C40&gt;Thresholds_Rates!$C$14),"-",$D40*Thresholds_Rates!$F$15)))</f>
        <v/>
      </c>
      <c r="L40" s="251"/>
      <c r="M40" s="251" t="str">
        <f t="shared" ca="1" si="0"/>
        <v/>
      </c>
      <c r="N40" s="251" t="str">
        <f t="shared" ca="1" si="1"/>
        <v/>
      </c>
      <c r="O40" s="251" t="str">
        <f t="shared" ca="1" si="2"/>
        <v/>
      </c>
      <c r="P40" s="251" t="str">
        <f t="shared" ca="1" si="3"/>
        <v/>
      </c>
      <c r="Q40" s="251" t="str">
        <f t="shared" ca="1" si="4"/>
        <v/>
      </c>
      <c r="S40" s="158" t="str">
        <f ca="1">IF(OR($C40="",$D$10="Salary"),"",SUMIF(INDIRECT("'Points Lookup'!"&amp;VLOOKUP($C$6,Grades!$A:$BZ,3,FALSE)&amp;":"&amp;VLOOKUP($C$6,Grades!$A:$BZ,3,FALSE)),$C40,OFFSET(INDIRECT("'Points Lookup'!"&amp;VLOOKUP($C$6,Grades!$A:$BZ,3,FALSE)&amp;":"&amp;VLOOKUP($C$6,Grades!$A:$BZ,3,FALSE)),0,1)))</f>
        <v/>
      </c>
      <c r="T40" s="159" t="str">
        <f ca="1">IF(OR($C40="",$D$10="Salary"),"",$D40-SUMIF(INDIRECT("'Points Lookup'!"&amp;VLOOKUP($C$6,Grades!$A:$BZ,3,FALSE)&amp;":"&amp;VLOOKUP($C$6,Grades!$A:$BZ,3,FALSE)),$C40,OFFSET(INDIRECT("'Points Lookup'!"&amp;VLOOKUP($C$6,Grades!$A:$BZ,3,FALSE)&amp;":"&amp;VLOOKUP($C$6,Grades!$A:$BZ,3,FALSE)),0,2)))</f>
        <v/>
      </c>
      <c r="U40" s="158" t="str">
        <f ca="1">IF(OR($C40="",$D$10="Salary"),"",SUMIF(INDIRECT("'Points Lookup'!"&amp;VLOOKUP($C$6,Grades!$A:$BZ,3,FALSE)&amp;":"&amp;VLOOKUP($C$6,Grades!$A:$BZ,3,FALSE)),$C40,OFFSET(INDIRECT("'Points Lookup'!"&amp;VLOOKUP($C$6,Grades!$A:$BZ,3,FALSE)&amp;":"&amp;VLOOKUP($C$6,Grades!$A:$BZ,3,FALSE)),0,4)))</f>
        <v/>
      </c>
      <c r="V40" s="159" t="str">
        <f t="shared" ca="1" si="5"/>
        <v/>
      </c>
    </row>
    <row r="41" spans="2:22" x14ac:dyDescent="0.25">
      <c r="B41" s="156">
        <v>31</v>
      </c>
      <c r="C41" s="50" t="str">
        <f ca="1">IFERROR(INDEX('Points Lookup'!$A:$A,MATCH($B41,'Points Lookup'!$AR:$AR,0)),"")</f>
        <v/>
      </c>
      <c r="D41" s="251" t="str">
        <f ca="1">IF(C41="","",SUMIF(INDIRECT("'Points Lookup'!"&amp;VLOOKUP($C$6,Grades!A:BZ,3,FALSE)&amp;":"&amp;VLOOKUP($C$6,Grades!A:BZ,3,FALSE)),C41,INDIRECT("'Points Lookup'!"&amp;VLOOKUP($C$6,Grades!A:BZ,4,FALSE)&amp;":"&amp;VLOOKUP($C$6,Grades!A:Z,4,FALSE))))</f>
        <v/>
      </c>
      <c r="E41" s="251"/>
      <c r="F41" s="251" t="str">
        <f ca="1">IF($C41="","",IF(SUMIF(Grades!$A:$A,$C$6,Grades!$BU:$BU)=0,"-",IF(AND(VLOOKUP($C$6,Grades!$A:$BZ,77,FALSE)="YES",C41&lt;Thresholds_Rates!$C$13),"-",$D41*Thresholds_Rates!$F$12)))</f>
        <v/>
      </c>
      <c r="G41" s="251" t="str">
        <f ca="1">IF(C41="","",IF(OR($C$6="Salary Points 3 to 57",$C$6="Salary Points 3 to 57 (post-pay award)"),"-",IF(SUMIF(Grades!$A:$A,$C$6,Grades!$BV:$BV)=0,"-",$D41*Thresholds_Rates!$F$13)))</f>
        <v/>
      </c>
      <c r="H41" s="251" t="str">
        <f ca="1">IF(C41="","",IF($C$6="Apprenticeship","-",IF(SUMIF(Grades!$A:$A,$C$6,Grades!$BW:$BW)=0,"-",IF(AND(VLOOKUP($C$6,Grades!$A:$BZ,77,FALSE)="YES",C41&gt;Thresholds_Rates!$C$14),"-",$D41*Thresholds_Rates!$F$14))))</f>
        <v/>
      </c>
      <c r="I41" s="251" t="str">
        <f ca="1">IF($C41="","",IF($D41=0,0,ROUND(($D41-(Thresholds_Rates!$C$4*12))*Thresholds_Rates!$C$7,0)))</f>
        <v/>
      </c>
      <c r="J41" s="251" t="str">
        <f ca="1">IF(C41="","",(D41*Thresholds_Rates!$C$9))</f>
        <v/>
      </c>
      <c r="K41" s="251" t="str">
        <f ca="1">IF(C41="","",IF(SUMIF(Grades!$A:$A,$C$6,Grades!$BX:$BX)=0,"-",IF(AND(VLOOKUP($C$6,Grades!$A:$BZ,77,FALSE)="YES",C41&gt;Thresholds_Rates!$C$14),"-",$D41*Thresholds_Rates!$F$15)))</f>
        <v/>
      </c>
      <c r="L41" s="251"/>
      <c r="M41" s="251" t="str">
        <f t="shared" ca="1" si="0"/>
        <v/>
      </c>
      <c r="N41" s="251" t="str">
        <f t="shared" ca="1" si="1"/>
        <v/>
      </c>
      <c r="O41" s="251" t="str">
        <f t="shared" ca="1" si="2"/>
        <v/>
      </c>
      <c r="P41" s="251" t="str">
        <f t="shared" ca="1" si="3"/>
        <v/>
      </c>
      <c r="Q41" s="251" t="str">
        <f t="shared" ca="1" si="4"/>
        <v/>
      </c>
      <c r="S41" s="158" t="str">
        <f ca="1">IF(OR($C41="",$D$10="Salary"),"",SUMIF(INDIRECT("'Points Lookup'!"&amp;VLOOKUP($C$6,Grades!$A:$BZ,3,FALSE)&amp;":"&amp;VLOOKUP($C$6,Grades!$A:$BZ,3,FALSE)),$C41,OFFSET(INDIRECT("'Points Lookup'!"&amp;VLOOKUP($C$6,Grades!$A:$BZ,3,FALSE)&amp;":"&amp;VLOOKUP($C$6,Grades!$A:$BZ,3,FALSE)),0,1)))</f>
        <v/>
      </c>
      <c r="T41" s="159" t="str">
        <f ca="1">IF(OR($C41="",$D$10="Salary"),"",$D41-SUMIF(INDIRECT("'Points Lookup'!"&amp;VLOOKUP($C$6,Grades!$A:$BZ,3,FALSE)&amp;":"&amp;VLOOKUP($C$6,Grades!$A:$BZ,3,FALSE)),$C41,OFFSET(INDIRECT("'Points Lookup'!"&amp;VLOOKUP($C$6,Grades!$A:$BZ,3,FALSE)&amp;":"&amp;VLOOKUP($C$6,Grades!$A:$BZ,3,FALSE)),0,2)))</f>
        <v/>
      </c>
      <c r="U41" s="158" t="str">
        <f ca="1">IF(OR($C41="",$D$10="Salary"),"",SUMIF(INDIRECT("'Points Lookup'!"&amp;VLOOKUP($C$6,Grades!$A:$BZ,3,FALSE)&amp;":"&amp;VLOOKUP($C$6,Grades!$A:$BZ,3,FALSE)),$C41,OFFSET(INDIRECT("'Points Lookup'!"&amp;VLOOKUP($C$6,Grades!$A:$BZ,3,FALSE)&amp;":"&amp;VLOOKUP($C$6,Grades!$A:$BZ,3,FALSE)),0,4)))</f>
        <v/>
      </c>
      <c r="V41" s="159" t="str">
        <f t="shared" ca="1" si="5"/>
        <v/>
      </c>
    </row>
    <row r="42" spans="2:22" x14ac:dyDescent="0.25">
      <c r="B42" s="156">
        <v>32</v>
      </c>
      <c r="C42" s="50" t="str">
        <f ca="1">IFERROR(INDEX('Points Lookup'!$A:$A,MATCH($B42,'Points Lookup'!$AR:$AR,0)),"")</f>
        <v/>
      </c>
      <c r="D42" s="251" t="str">
        <f ca="1">IF(C42="","",SUMIF(INDIRECT("'Points Lookup'!"&amp;VLOOKUP($C$6,Grades!A:BZ,3,FALSE)&amp;":"&amp;VLOOKUP($C$6,Grades!A:BZ,3,FALSE)),C42,INDIRECT("'Points Lookup'!"&amp;VLOOKUP($C$6,Grades!A:BZ,4,FALSE)&amp;":"&amp;VLOOKUP($C$6,Grades!A:Z,4,FALSE))))</f>
        <v/>
      </c>
      <c r="E42" s="251"/>
      <c r="F42" s="251" t="str">
        <f ca="1">IF($C42="","",IF(SUMIF(Grades!$A:$A,$C$6,Grades!$BU:$BU)=0,"-",IF(AND(VLOOKUP($C$6,Grades!$A:$BZ,77,FALSE)="YES",C42&lt;Thresholds_Rates!$C$13),"-",$D42*Thresholds_Rates!$F$12)))</f>
        <v/>
      </c>
      <c r="G42" s="251" t="str">
        <f ca="1">IF(C42="","",IF(OR($C$6="Salary Points 3 to 57",$C$6="Salary Points 3 to 57 (post-pay award)"),"-",IF(SUMIF(Grades!$A:$A,$C$6,Grades!$BV:$BV)=0,"-",$D42*Thresholds_Rates!$F$13)))</f>
        <v/>
      </c>
      <c r="H42" s="251" t="str">
        <f ca="1">IF(C42="","",IF($C$6="Apprenticeship","-",IF(SUMIF(Grades!$A:$A,$C$6,Grades!$BW:$BW)=0,"-",IF(AND(VLOOKUP($C$6,Grades!$A:$BZ,77,FALSE)="YES",C42&gt;Thresholds_Rates!$C$14),"-",$D42*Thresholds_Rates!$F$14))))</f>
        <v/>
      </c>
      <c r="I42" s="251" t="str">
        <f ca="1">IF($C42="","",IF($D42=0,0,ROUND(($D42-(Thresholds_Rates!$C$4*12))*Thresholds_Rates!$C$7,0)))</f>
        <v/>
      </c>
      <c r="J42" s="251" t="str">
        <f ca="1">IF(C42="","",(D42*Thresholds_Rates!$C$9))</f>
        <v/>
      </c>
      <c r="K42" s="251" t="str">
        <f ca="1">IF(C42="","",IF(SUMIF(Grades!$A:$A,$C$6,Grades!$BX:$BX)=0,"-",IF(AND(VLOOKUP($C$6,Grades!$A:$BZ,77,FALSE)="YES",C42&gt;Thresholds_Rates!$C$14),"-",$D42*Thresholds_Rates!$F$15)))</f>
        <v/>
      </c>
      <c r="L42" s="251"/>
      <c r="M42" s="251" t="str">
        <f t="shared" ca="1" si="0"/>
        <v/>
      </c>
      <c r="N42" s="251" t="str">
        <f t="shared" ca="1" si="1"/>
        <v/>
      </c>
      <c r="O42" s="251" t="str">
        <f t="shared" ca="1" si="2"/>
        <v/>
      </c>
      <c r="P42" s="251" t="str">
        <f t="shared" ca="1" si="3"/>
        <v/>
      </c>
      <c r="Q42" s="251" t="str">
        <f t="shared" ca="1" si="4"/>
        <v/>
      </c>
      <c r="S42" s="158" t="str">
        <f ca="1">IF(OR($C42="",$D$10="Salary"),"",SUMIF(INDIRECT("'Points Lookup'!"&amp;VLOOKUP($C$6,Grades!$A:$BZ,3,FALSE)&amp;":"&amp;VLOOKUP($C$6,Grades!$A:$BZ,3,FALSE)),$C42,OFFSET(INDIRECT("'Points Lookup'!"&amp;VLOOKUP($C$6,Grades!$A:$BZ,3,FALSE)&amp;":"&amp;VLOOKUP($C$6,Grades!$A:$BZ,3,FALSE)),0,1)))</f>
        <v/>
      </c>
      <c r="T42" s="159" t="str">
        <f ca="1">IF(OR($C42="",$D$10="Salary"),"",$D42-SUMIF(INDIRECT("'Points Lookup'!"&amp;VLOOKUP($C$6,Grades!$A:$BZ,3,FALSE)&amp;":"&amp;VLOOKUP($C$6,Grades!$A:$BZ,3,FALSE)),$C42,OFFSET(INDIRECT("'Points Lookup'!"&amp;VLOOKUP($C$6,Grades!$A:$BZ,3,FALSE)&amp;":"&amp;VLOOKUP($C$6,Grades!$A:$BZ,3,FALSE)),0,2)))</f>
        <v/>
      </c>
      <c r="U42" s="158" t="str">
        <f ca="1">IF(OR($C42="",$D$10="Salary"),"",SUMIF(INDIRECT("'Points Lookup'!"&amp;VLOOKUP($C$6,Grades!$A:$BZ,3,FALSE)&amp;":"&amp;VLOOKUP($C$6,Grades!$A:$BZ,3,FALSE)),$C42,OFFSET(INDIRECT("'Points Lookup'!"&amp;VLOOKUP($C$6,Grades!$A:$BZ,3,FALSE)&amp;":"&amp;VLOOKUP($C$6,Grades!$A:$BZ,3,FALSE)),0,4)))</f>
        <v/>
      </c>
      <c r="V42" s="159" t="str">
        <f t="shared" ca="1" si="5"/>
        <v/>
      </c>
    </row>
    <row r="43" spans="2:22" x14ac:dyDescent="0.25">
      <c r="B43" s="156">
        <v>33</v>
      </c>
      <c r="C43" s="50" t="str">
        <f ca="1">IFERROR(INDEX('Points Lookup'!$A:$A,MATCH($B43,'Points Lookup'!$AR:$AR,0)),"")</f>
        <v/>
      </c>
      <c r="D43" s="251" t="str">
        <f ca="1">IF(C43="","",SUMIF(INDIRECT("'Points Lookup'!"&amp;VLOOKUP($C$6,Grades!A:BZ,3,FALSE)&amp;":"&amp;VLOOKUP($C$6,Grades!A:BZ,3,FALSE)),C43,INDIRECT("'Points Lookup'!"&amp;VLOOKUP($C$6,Grades!A:BZ,4,FALSE)&amp;":"&amp;VLOOKUP($C$6,Grades!A:Z,4,FALSE))))</f>
        <v/>
      </c>
      <c r="E43" s="251"/>
      <c r="F43" s="251" t="str">
        <f ca="1">IF($C43="","",IF(SUMIF(Grades!$A:$A,$C$6,Grades!$BU:$BU)=0,"-",IF(AND(VLOOKUP($C$6,Grades!$A:$BZ,77,FALSE)="YES",C43&lt;Thresholds_Rates!$C$13),"-",$D43*Thresholds_Rates!$F$12)))</f>
        <v/>
      </c>
      <c r="G43" s="251" t="str">
        <f ca="1">IF(C43="","",IF(OR($C$6="Salary Points 3 to 57",$C$6="Salary Points 3 to 57 (post-pay award)"),"-",IF(SUMIF(Grades!$A:$A,$C$6,Grades!$BV:$BV)=0,"-",$D43*Thresholds_Rates!$F$13)))</f>
        <v/>
      </c>
      <c r="H43" s="251" t="str">
        <f ca="1">IF(C43="","",IF($C$6="Apprenticeship","-",IF(SUMIF(Grades!$A:$A,$C$6,Grades!$BW:$BW)=0,"-",IF(AND(VLOOKUP($C$6,Grades!$A:$BZ,77,FALSE)="YES",C43&gt;Thresholds_Rates!$C$14),"-",$D43*Thresholds_Rates!$F$14))))</f>
        <v/>
      </c>
      <c r="I43" s="251" t="str">
        <f ca="1">IF($C43="","",IF($D43=0,0,ROUND(($D43-(Thresholds_Rates!$C$4*12))*Thresholds_Rates!$C$7,0)))</f>
        <v/>
      </c>
      <c r="J43" s="251" t="str">
        <f ca="1">IF(C43="","",(D43*Thresholds_Rates!$C$9))</f>
        <v/>
      </c>
      <c r="K43" s="251" t="str">
        <f ca="1">IF(C43="","",IF(SUMIF(Grades!$A:$A,$C$6,Grades!$BX:$BX)=0,"-",IF(AND(VLOOKUP($C$6,Grades!$A:$BZ,77,FALSE)="YES",C43&gt;Thresholds_Rates!$C$14),"-",$D43*Thresholds_Rates!$F$15)))</f>
        <v/>
      </c>
      <c r="L43" s="251"/>
      <c r="M43" s="251" t="str">
        <f t="shared" ref="M43:M67" ca="1" si="6">IF(C43="","",IF(F43="-","-",$D43+$I43+F43+J43))</f>
        <v/>
      </c>
      <c r="N43" s="251" t="str">
        <f t="shared" ref="N43:N67" ca="1" si="7">IF(C43="","",IF(G43="-","-",$D43+$I43+G43+J43))</f>
        <v/>
      </c>
      <c r="O43" s="251" t="str">
        <f t="shared" ref="O43:O67" ca="1" si="8">IF(C43="","",IF(H43="-","-",$D43+$I43+H43+J43))</f>
        <v/>
      </c>
      <c r="P43" s="251" t="str">
        <f t="shared" ref="P43:P67" ca="1" si="9">IF(C43="","",IF(K43="-","-",$D43+$I43+K43+J43))</f>
        <v/>
      </c>
      <c r="Q43" s="251" t="str">
        <f t="shared" ref="Q43:Q67" ca="1" si="10">IF(C43="","",D43+I43+J43)</f>
        <v/>
      </c>
      <c r="S43" s="158" t="str">
        <f ca="1">IF(OR($C43="",$D$10="Salary"),"",SUMIF(INDIRECT("'Points Lookup'!"&amp;VLOOKUP($C$6,Grades!$A:$BZ,3,FALSE)&amp;":"&amp;VLOOKUP($C$6,Grades!$A:$BZ,3,FALSE)),$C43,OFFSET(INDIRECT("'Points Lookup'!"&amp;VLOOKUP($C$6,Grades!$A:$BZ,3,FALSE)&amp;":"&amp;VLOOKUP($C$6,Grades!$A:$BZ,3,FALSE)),0,1)))</f>
        <v/>
      </c>
      <c r="T43" s="159" t="str">
        <f ca="1">IF(OR($C43="",$D$10="Salary"),"",$D43-SUMIF(INDIRECT("'Points Lookup'!"&amp;VLOOKUP($C$6,Grades!$A:$BZ,3,FALSE)&amp;":"&amp;VLOOKUP($C$6,Grades!$A:$BZ,3,FALSE)),$C43,OFFSET(INDIRECT("'Points Lookup'!"&amp;VLOOKUP($C$6,Grades!$A:$BZ,3,FALSE)&amp;":"&amp;VLOOKUP($C$6,Grades!$A:$BZ,3,FALSE)),0,2)))</f>
        <v/>
      </c>
      <c r="U43" s="158" t="str">
        <f ca="1">IF(OR($C43="",$D$10="Salary"),"",SUMIF(INDIRECT("'Points Lookup'!"&amp;VLOOKUP($C$6,Grades!$A:$BZ,3,FALSE)&amp;":"&amp;VLOOKUP($C$6,Grades!$A:$BZ,3,FALSE)),$C43,OFFSET(INDIRECT("'Points Lookup'!"&amp;VLOOKUP($C$6,Grades!$A:$BZ,3,FALSE)&amp;":"&amp;VLOOKUP($C$6,Grades!$A:$BZ,3,FALSE)),0,4)))</f>
        <v/>
      </c>
      <c r="V43" s="159" t="str">
        <f t="shared" ref="V43:V67" ca="1" si="11">IF(OR($C43="",$D$10="Salary"),"",ROUND(D43*U43,0))</f>
        <v/>
      </c>
    </row>
    <row r="44" spans="2:22" x14ac:dyDescent="0.25">
      <c r="B44" s="156">
        <v>34</v>
      </c>
      <c r="C44" s="50" t="str">
        <f ca="1">IFERROR(INDEX('Points Lookup'!$A:$A,MATCH($B44,'Points Lookup'!$AR:$AR,0)),"")</f>
        <v/>
      </c>
      <c r="D44" s="251" t="str">
        <f ca="1">IF(C44="","",SUMIF(INDIRECT("'Points Lookup'!"&amp;VLOOKUP($C$6,Grades!A:BZ,3,FALSE)&amp;":"&amp;VLOOKUP($C$6,Grades!A:BZ,3,FALSE)),C44,INDIRECT("'Points Lookup'!"&amp;VLOOKUP($C$6,Grades!A:BZ,4,FALSE)&amp;":"&amp;VLOOKUP($C$6,Grades!A:Z,4,FALSE))))</f>
        <v/>
      </c>
      <c r="E44" s="251"/>
      <c r="F44" s="251" t="str">
        <f ca="1">IF($C44="","",IF(SUMIF(Grades!$A:$A,$C$6,Grades!$BU:$BU)=0,"-",IF(AND(VLOOKUP($C$6,Grades!$A:$BZ,77,FALSE)="YES",C44&lt;Thresholds_Rates!$C$13),"-",$D44*Thresholds_Rates!$F$12)))</f>
        <v/>
      </c>
      <c r="G44" s="251" t="str">
        <f ca="1">IF(C44="","",IF(OR($C$6="Salary Points 3 to 57",$C$6="Salary Points 3 to 57 (post-pay award)"),"-",IF(SUMIF(Grades!$A:$A,$C$6,Grades!$BV:$BV)=0,"-",$D44*Thresholds_Rates!$F$13)))</f>
        <v/>
      </c>
      <c r="H44" s="251" t="str">
        <f ca="1">IF(C44="","",IF($C$6="Apprenticeship","-",IF(SUMIF(Grades!$A:$A,$C$6,Grades!$BW:$BW)=0,"-",IF(AND(VLOOKUP($C$6,Grades!$A:$BZ,77,FALSE)="YES",C44&gt;Thresholds_Rates!$C$14),"-",$D44*Thresholds_Rates!$F$14))))</f>
        <v/>
      </c>
      <c r="I44" s="251" t="str">
        <f ca="1">IF($C44="","",IF($D44=0,0,ROUND(($D44-(Thresholds_Rates!$C$4*12))*Thresholds_Rates!$C$7,0)))</f>
        <v/>
      </c>
      <c r="J44" s="251" t="str">
        <f ca="1">IF(C44="","",(D44*Thresholds_Rates!$C$9))</f>
        <v/>
      </c>
      <c r="K44" s="251" t="str">
        <f ca="1">IF(C44="","",IF(SUMIF(Grades!$A:$A,$C$6,Grades!$BX:$BX)=0,"-",IF(AND(VLOOKUP($C$6,Grades!$A:$BZ,77,FALSE)="YES",C44&gt;Thresholds_Rates!$C$14),"-",$D44*Thresholds_Rates!$F$15)))</f>
        <v/>
      </c>
      <c r="L44" s="251"/>
      <c r="M44" s="251" t="str">
        <f t="shared" ca="1" si="6"/>
        <v/>
      </c>
      <c r="N44" s="251" t="str">
        <f t="shared" ca="1" si="7"/>
        <v/>
      </c>
      <c r="O44" s="251" t="str">
        <f t="shared" ca="1" si="8"/>
        <v/>
      </c>
      <c r="P44" s="251" t="str">
        <f t="shared" ca="1" si="9"/>
        <v/>
      </c>
      <c r="Q44" s="251" t="str">
        <f t="shared" ca="1" si="10"/>
        <v/>
      </c>
      <c r="S44" s="158" t="str">
        <f ca="1">IF(OR($C44="",$D$10="Salary"),"",SUMIF(INDIRECT("'Points Lookup'!"&amp;VLOOKUP($C$6,Grades!$A:$BZ,3,FALSE)&amp;":"&amp;VLOOKUP($C$6,Grades!$A:$BZ,3,FALSE)),$C44,OFFSET(INDIRECT("'Points Lookup'!"&amp;VLOOKUP($C$6,Grades!$A:$BZ,3,FALSE)&amp;":"&amp;VLOOKUP($C$6,Grades!$A:$BZ,3,FALSE)),0,1)))</f>
        <v/>
      </c>
      <c r="T44" s="159" t="str">
        <f ca="1">IF(OR($C44="",$D$10="Salary"),"",$D44-SUMIF(INDIRECT("'Points Lookup'!"&amp;VLOOKUP($C$6,Grades!$A:$BZ,3,FALSE)&amp;":"&amp;VLOOKUP($C$6,Grades!$A:$BZ,3,FALSE)),$C44,OFFSET(INDIRECT("'Points Lookup'!"&amp;VLOOKUP($C$6,Grades!$A:$BZ,3,FALSE)&amp;":"&amp;VLOOKUP($C$6,Grades!$A:$BZ,3,FALSE)),0,2)))</f>
        <v/>
      </c>
      <c r="U44" s="158" t="str">
        <f ca="1">IF(OR($C44="",$D$10="Salary"),"",SUMIF(INDIRECT("'Points Lookup'!"&amp;VLOOKUP($C$6,Grades!$A:$BZ,3,FALSE)&amp;":"&amp;VLOOKUP($C$6,Grades!$A:$BZ,3,FALSE)),$C44,OFFSET(INDIRECT("'Points Lookup'!"&amp;VLOOKUP($C$6,Grades!$A:$BZ,3,FALSE)&amp;":"&amp;VLOOKUP($C$6,Grades!$A:$BZ,3,FALSE)),0,4)))</f>
        <v/>
      </c>
      <c r="V44" s="159" t="str">
        <f t="shared" ca="1" si="11"/>
        <v/>
      </c>
    </row>
    <row r="45" spans="2:22" x14ac:dyDescent="0.25">
      <c r="B45" s="156">
        <v>35</v>
      </c>
      <c r="C45" s="50" t="str">
        <f ca="1">IFERROR(INDEX('Points Lookup'!$A:$A,MATCH($B45,'Points Lookup'!$AR:$AR,0)),"")</f>
        <v/>
      </c>
      <c r="D45" s="251" t="str">
        <f ca="1">IF(C45="","",SUMIF(INDIRECT("'Points Lookup'!"&amp;VLOOKUP($C$6,Grades!A:BZ,3,FALSE)&amp;":"&amp;VLOOKUP($C$6,Grades!A:BZ,3,FALSE)),C45,INDIRECT("'Points Lookup'!"&amp;VLOOKUP($C$6,Grades!A:BZ,4,FALSE)&amp;":"&amp;VLOOKUP($C$6,Grades!A:Z,4,FALSE))))</f>
        <v/>
      </c>
      <c r="E45" s="251"/>
      <c r="F45" s="251" t="str">
        <f ca="1">IF($C45="","",IF(SUMIF(Grades!$A:$A,$C$6,Grades!$BU:$BU)=0,"-",IF(AND(VLOOKUP($C$6,Grades!$A:$BZ,77,FALSE)="YES",C45&lt;Thresholds_Rates!$C$13),"-",$D45*Thresholds_Rates!$F$12)))</f>
        <v/>
      </c>
      <c r="G45" s="251" t="str">
        <f ca="1">IF(C45="","",IF(OR($C$6="Salary Points 3 to 57",$C$6="Salary Points 3 to 57 (post-pay award)"),"-",IF(SUMIF(Grades!$A:$A,$C$6,Grades!$BV:$BV)=0,"-",$D45*Thresholds_Rates!$F$13)))</f>
        <v/>
      </c>
      <c r="H45" s="251" t="str">
        <f ca="1">IF(C45="","",IF($C$6="Apprenticeship","-",IF(SUMIF(Grades!$A:$A,$C$6,Grades!$BW:$BW)=0,"-",IF(AND(VLOOKUP($C$6,Grades!$A:$BZ,77,FALSE)="YES",C45&gt;Thresholds_Rates!$C$14),"-",$D45*Thresholds_Rates!$F$14))))</f>
        <v/>
      </c>
      <c r="I45" s="251" t="str">
        <f ca="1">IF($C45="","",IF($D45=0,0,ROUND(($D45-(Thresholds_Rates!$C$4*12))*Thresholds_Rates!$C$7,0)))</f>
        <v/>
      </c>
      <c r="J45" s="251" t="str">
        <f ca="1">IF(C45="","",(D45*Thresholds_Rates!$C$9))</f>
        <v/>
      </c>
      <c r="K45" s="251" t="str">
        <f ca="1">IF(C45="","",IF(SUMIF(Grades!$A:$A,$C$6,Grades!$BX:$BX)=0,"-",IF(AND(VLOOKUP($C$6,Grades!$A:$BZ,77,FALSE)="YES",C45&gt;Thresholds_Rates!$C$14),"-",$D45*Thresholds_Rates!$F$15)))</f>
        <v/>
      </c>
      <c r="L45" s="251"/>
      <c r="M45" s="251" t="str">
        <f t="shared" ca="1" si="6"/>
        <v/>
      </c>
      <c r="N45" s="251" t="str">
        <f t="shared" ca="1" si="7"/>
        <v/>
      </c>
      <c r="O45" s="251" t="str">
        <f t="shared" ca="1" si="8"/>
        <v/>
      </c>
      <c r="P45" s="251" t="str">
        <f t="shared" ca="1" si="9"/>
        <v/>
      </c>
      <c r="Q45" s="251" t="str">
        <f t="shared" ca="1" si="10"/>
        <v/>
      </c>
      <c r="S45" s="158" t="str">
        <f ca="1">IF(OR($C45="",$D$10="Salary"),"",SUMIF(INDIRECT("'Points Lookup'!"&amp;VLOOKUP($C$6,Grades!$A:$BZ,3,FALSE)&amp;":"&amp;VLOOKUP($C$6,Grades!$A:$BZ,3,FALSE)),$C45,OFFSET(INDIRECT("'Points Lookup'!"&amp;VLOOKUP($C$6,Grades!$A:$BZ,3,FALSE)&amp;":"&amp;VLOOKUP($C$6,Grades!$A:$BZ,3,FALSE)),0,1)))</f>
        <v/>
      </c>
      <c r="T45" s="159" t="str">
        <f ca="1">IF(OR($C45="",$D$10="Salary"),"",$D45-SUMIF(INDIRECT("'Points Lookup'!"&amp;VLOOKUP($C$6,Grades!$A:$BZ,3,FALSE)&amp;":"&amp;VLOOKUP($C$6,Grades!$A:$BZ,3,FALSE)),$C45,OFFSET(INDIRECT("'Points Lookup'!"&amp;VLOOKUP($C$6,Grades!$A:$BZ,3,FALSE)&amp;":"&amp;VLOOKUP($C$6,Grades!$A:$BZ,3,FALSE)),0,2)))</f>
        <v/>
      </c>
      <c r="U45" s="158" t="str">
        <f ca="1">IF(OR($C45="",$D$10="Salary"),"",SUMIF(INDIRECT("'Points Lookup'!"&amp;VLOOKUP($C$6,Grades!$A:$BZ,3,FALSE)&amp;":"&amp;VLOOKUP($C$6,Grades!$A:$BZ,3,FALSE)),$C45,OFFSET(INDIRECT("'Points Lookup'!"&amp;VLOOKUP($C$6,Grades!$A:$BZ,3,FALSE)&amp;":"&amp;VLOOKUP($C$6,Grades!$A:$BZ,3,FALSE)),0,4)))</f>
        <v/>
      </c>
      <c r="V45" s="159" t="str">
        <f t="shared" ca="1" si="11"/>
        <v/>
      </c>
    </row>
    <row r="46" spans="2:22" x14ac:dyDescent="0.25">
      <c r="B46" s="156">
        <v>36</v>
      </c>
      <c r="C46" s="50" t="str">
        <f ca="1">IFERROR(INDEX('Points Lookup'!$A:$A,MATCH($B46,'Points Lookup'!$AR:$AR,0)),"")</f>
        <v/>
      </c>
      <c r="D46" s="251" t="str">
        <f ca="1">IF(C46="","",SUMIF(INDIRECT("'Points Lookup'!"&amp;VLOOKUP($C$6,Grades!A:BZ,3,FALSE)&amp;":"&amp;VLOOKUP($C$6,Grades!A:BZ,3,FALSE)),C46,INDIRECT("'Points Lookup'!"&amp;VLOOKUP($C$6,Grades!A:BZ,4,FALSE)&amp;":"&amp;VLOOKUP($C$6,Grades!A:Z,4,FALSE))))</f>
        <v/>
      </c>
      <c r="E46" s="251"/>
      <c r="F46" s="251" t="str">
        <f ca="1">IF($C46="","",IF(SUMIF(Grades!$A:$A,$C$6,Grades!$BU:$BU)=0,"-",IF(AND(VLOOKUP($C$6,Grades!$A:$BZ,77,FALSE)="YES",C46&lt;Thresholds_Rates!$C$13),"-",$D46*Thresholds_Rates!$F$12)))</f>
        <v/>
      </c>
      <c r="G46" s="251" t="str">
        <f ca="1">IF(C46="","",IF(OR($C$6="Salary Points 3 to 57",$C$6="Salary Points 3 to 57 (post-pay award)"),"-",IF(SUMIF(Grades!$A:$A,$C$6,Grades!$BV:$BV)=0,"-",$D46*Thresholds_Rates!$F$13)))</f>
        <v/>
      </c>
      <c r="H46" s="251" t="str">
        <f ca="1">IF(C46="","",IF($C$6="Apprenticeship","-",IF(SUMIF(Grades!$A:$A,$C$6,Grades!$BW:$BW)=0,"-",IF(AND(VLOOKUP($C$6,Grades!$A:$BZ,77,FALSE)="YES",C46&gt;Thresholds_Rates!$C$14),"-",$D46*Thresholds_Rates!$F$14))))</f>
        <v/>
      </c>
      <c r="I46" s="251" t="str">
        <f ca="1">IF($C46="","",IF($D46=0,0,ROUND(($D46-(Thresholds_Rates!$C$4*12))*Thresholds_Rates!$C$7,0)))</f>
        <v/>
      </c>
      <c r="J46" s="251" t="str">
        <f ca="1">IF(C46="","",(D46*Thresholds_Rates!$C$9))</f>
        <v/>
      </c>
      <c r="K46" s="251" t="str">
        <f ca="1">IF(C46="","",IF(SUMIF(Grades!$A:$A,$C$6,Grades!$BX:$BX)=0,"-",IF(AND(VLOOKUP($C$6,Grades!$A:$BZ,77,FALSE)="YES",C46&gt;Thresholds_Rates!$C$14),"-",$D46*Thresholds_Rates!$F$15)))</f>
        <v/>
      </c>
      <c r="L46" s="251"/>
      <c r="M46" s="251" t="str">
        <f t="shared" ca="1" si="6"/>
        <v/>
      </c>
      <c r="N46" s="251" t="str">
        <f t="shared" ca="1" si="7"/>
        <v/>
      </c>
      <c r="O46" s="251" t="str">
        <f t="shared" ca="1" si="8"/>
        <v/>
      </c>
      <c r="P46" s="251" t="str">
        <f t="shared" ca="1" si="9"/>
        <v/>
      </c>
      <c r="Q46" s="251" t="str">
        <f t="shared" ca="1" si="10"/>
        <v/>
      </c>
      <c r="S46" s="158" t="str">
        <f ca="1">IF(OR($C46="",$D$10="Salary"),"",SUMIF(INDIRECT("'Points Lookup'!"&amp;VLOOKUP($C$6,Grades!$A:$BZ,3,FALSE)&amp;":"&amp;VLOOKUP($C$6,Grades!$A:$BZ,3,FALSE)),$C46,OFFSET(INDIRECT("'Points Lookup'!"&amp;VLOOKUP($C$6,Grades!$A:$BZ,3,FALSE)&amp;":"&amp;VLOOKUP($C$6,Grades!$A:$BZ,3,FALSE)),0,1)))</f>
        <v/>
      </c>
      <c r="T46" s="159" t="str">
        <f ca="1">IF(OR($C46="",$D$10="Salary"),"",$D46-SUMIF(INDIRECT("'Points Lookup'!"&amp;VLOOKUP($C$6,Grades!$A:$BZ,3,FALSE)&amp;":"&amp;VLOOKUP($C$6,Grades!$A:$BZ,3,FALSE)),$C46,OFFSET(INDIRECT("'Points Lookup'!"&amp;VLOOKUP($C$6,Grades!$A:$BZ,3,FALSE)&amp;":"&amp;VLOOKUP($C$6,Grades!$A:$BZ,3,FALSE)),0,2)))</f>
        <v/>
      </c>
      <c r="U46" s="158" t="str">
        <f ca="1">IF(OR($C46="",$D$10="Salary"),"",SUMIF(INDIRECT("'Points Lookup'!"&amp;VLOOKUP($C$6,Grades!$A:$BZ,3,FALSE)&amp;":"&amp;VLOOKUP($C$6,Grades!$A:$BZ,3,FALSE)),$C46,OFFSET(INDIRECT("'Points Lookup'!"&amp;VLOOKUP($C$6,Grades!$A:$BZ,3,FALSE)&amp;":"&amp;VLOOKUP($C$6,Grades!$A:$BZ,3,FALSE)),0,4)))</f>
        <v/>
      </c>
      <c r="V46" s="159" t="str">
        <f t="shared" ca="1" si="11"/>
        <v/>
      </c>
    </row>
    <row r="47" spans="2:22" x14ac:dyDescent="0.25">
      <c r="B47" s="156">
        <v>37</v>
      </c>
      <c r="C47" s="50" t="str">
        <f ca="1">IFERROR(INDEX('Points Lookup'!$A:$A,MATCH($B47,'Points Lookup'!$AR:$AR,0)),"")</f>
        <v/>
      </c>
      <c r="D47" s="251" t="str">
        <f ca="1">IF(C47="","",SUMIF(INDIRECT("'Points Lookup'!"&amp;VLOOKUP($C$6,Grades!A:BZ,3,FALSE)&amp;":"&amp;VLOOKUP($C$6,Grades!A:BZ,3,FALSE)),C47,INDIRECT("'Points Lookup'!"&amp;VLOOKUP($C$6,Grades!A:BZ,4,FALSE)&amp;":"&amp;VLOOKUP($C$6,Grades!A:Z,4,FALSE))))</f>
        <v/>
      </c>
      <c r="E47" s="251"/>
      <c r="F47" s="251" t="str">
        <f ca="1">IF($C47="","",IF(SUMIF(Grades!$A:$A,$C$6,Grades!$BU:$BU)=0,"-",IF(AND(VLOOKUP($C$6,Grades!$A:$BZ,77,FALSE)="YES",C47&lt;Thresholds_Rates!$C$13),"-",$D47*Thresholds_Rates!$F$12)))</f>
        <v/>
      </c>
      <c r="G47" s="251" t="str">
        <f ca="1">IF(C47="","",IF(OR($C$6="Salary Points 3 to 57",$C$6="Salary Points 3 to 57 (post-pay award)"),"-",IF(SUMIF(Grades!$A:$A,$C$6,Grades!$BV:$BV)=0,"-",$D47*Thresholds_Rates!$F$13)))</f>
        <v/>
      </c>
      <c r="H47" s="251" t="str">
        <f ca="1">IF(C47="","",IF($C$6="Apprenticeship","-",IF(SUMIF(Grades!$A:$A,$C$6,Grades!$BW:$BW)=0,"-",IF(AND(VLOOKUP($C$6,Grades!$A:$BZ,77,FALSE)="YES",C47&gt;Thresholds_Rates!$C$14),"-",$D47*Thresholds_Rates!$F$14))))</f>
        <v/>
      </c>
      <c r="I47" s="251" t="str">
        <f ca="1">IF($C47="","",IF($D47=0,0,ROUND(($D47-(Thresholds_Rates!$C$4*12))*Thresholds_Rates!$C$7,0)))</f>
        <v/>
      </c>
      <c r="J47" s="251" t="str">
        <f ca="1">IF(C47="","",(D47*Thresholds_Rates!$C$9))</f>
        <v/>
      </c>
      <c r="K47" s="251" t="str">
        <f ca="1">IF(C47="","",IF(SUMIF(Grades!$A:$A,$C$6,Grades!$BX:$BX)=0,"-",IF(AND(VLOOKUP($C$6,Grades!$A:$BZ,77,FALSE)="YES",C47&gt;Thresholds_Rates!$C$14),"-",$D47*Thresholds_Rates!$F$15)))</f>
        <v/>
      </c>
      <c r="L47" s="251"/>
      <c r="M47" s="251" t="str">
        <f t="shared" ca="1" si="6"/>
        <v/>
      </c>
      <c r="N47" s="251" t="str">
        <f t="shared" ca="1" si="7"/>
        <v/>
      </c>
      <c r="O47" s="251" t="str">
        <f t="shared" ca="1" si="8"/>
        <v/>
      </c>
      <c r="P47" s="251" t="str">
        <f t="shared" ca="1" si="9"/>
        <v/>
      </c>
      <c r="Q47" s="251" t="str">
        <f t="shared" ca="1" si="10"/>
        <v/>
      </c>
      <c r="S47" s="158" t="str">
        <f ca="1">IF(OR($C47="",$D$10="Salary"),"",SUMIF(INDIRECT("'Points Lookup'!"&amp;VLOOKUP($C$6,Grades!$A:$BZ,3,FALSE)&amp;":"&amp;VLOOKUP($C$6,Grades!$A:$BZ,3,FALSE)),$C47,OFFSET(INDIRECT("'Points Lookup'!"&amp;VLOOKUP($C$6,Grades!$A:$BZ,3,FALSE)&amp;":"&amp;VLOOKUP($C$6,Grades!$A:$BZ,3,FALSE)),0,1)))</f>
        <v/>
      </c>
      <c r="T47" s="159" t="str">
        <f ca="1">IF(OR($C47="",$D$10="Salary"),"",$D47-SUMIF(INDIRECT("'Points Lookup'!"&amp;VLOOKUP($C$6,Grades!$A:$BZ,3,FALSE)&amp;":"&amp;VLOOKUP($C$6,Grades!$A:$BZ,3,FALSE)),$C47,OFFSET(INDIRECT("'Points Lookup'!"&amp;VLOOKUP($C$6,Grades!$A:$BZ,3,FALSE)&amp;":"&amp;VLOOKUP($C$6,Grades!$A:$BZ,3,FALSE)),0,2)))</f>
        <v/>
      </c>
      <c r="U47" s="158" t="str">
        <f ca="1">IF(OR($C47="",$D$10="Salary"),"",SUMIF(INDIRECT("'Points Lookup'!"&amp;VLOOKUP($C$6,Grades!$A:$BZ,3,FALSE)&amp;":"&amp;VLOOKUP($C$6,Grades!$A:$BZ,3,FALSE)),$C47,OFFSET(INDIRECT("'Points Lookup'!"&amp;VLOOKUP($C$6,Grades!$A:$BZ,3,FALSE)&amp;":"&amp;VLOOKUP($C$6,Grades!$A:$BZ,3,FALSE)),0,4)))</f>
        <v/>
      </c>
      <c r="V47" s="159" t="str">
        <f t="shared" ca="1" si="11"/>
        <v/>
      </c>
    </row>
    <row r="48" spans="2:22" x14ac:dyDescent="0.25">
      <c r="B48" s="156">
        <v>38</v>
      </c>
      <c r="C48" s="50" t="str">
        <f ca="1">IFERROR(INDEX('Points Lookup'!$A:$A,MATCH($B48,'Points Lookup'!$AR:$AR,0)),"")</f>
        <v/>
      </c>
      <c r="D48" s="251" t="str">
        <f ca="1">IF(C48="","",SUMIF(INDIRECT("'Points Lookup'!"&amp;VLOOKUP($C$6,Grades!A:BZ,3,FALSE)&amp;":"&amp;VLOOKUP($C$6,Grades!A:BZ,3,FALSE)),C48,INDIRECT("'Points Lookup'!"&amp;VLOOKUP($C$6,Grades!A:BZ,4,FALSE)&amp;":"&amp;VLOOKUP($C$6,Grades!A:Z,4,FALSE))))</f>
        <v/>
      </c>
      <c r="E48" s="251"/>
      <c r="F48" s="251" t="str">
        <f ca="1">IF($C48="","",IF(SUMIF(Grades!$A:$A,$C$6,Grades!$BU:$BU)=0,"-",IF(AND(VLOOKUP($C$6,Grades!$A:$BZ,77,FALSE)="YES",C48&lt;Thresholds_Rates!$C$13),"-",$D48*Thresholds_Rates!$F$12)))</f>
        <v/>
      </c>
      <c r="G48" s="251" t="str">
        <f ca="1">IF(C48="","",IF(OR($C$6="Salary Points 3 to 57",$C$6="Salary Points 3 to 57 (post-pay award)"),"-",IF(SUMIF(Grades!$A:$A,$C$6,Grades!$BV:$BV)=0,"-",$D48*Thresholds_Rates!$F$13)))</f>
        <v/>
      </c>
      <c r="H48" s="251" t="str">
        <f ca="1">IF(C48="","",IF($C$6="Apprenticeship","-",IF(SUMIF(Grades!$A:$A,$C$6,Grades!$BW:$BW)=0,"-",IF(AND(VLOOKUP($C$6,Grades!$A:$BZ,77,FALSE)="YES",C48&gt;Thresholds_Rates!$C$14),"-",$D48*Thresholds_Rates!$F$14))))</f>
        <v/>
      </c>
      <c r="I48" s="251" t="str">
        <f ca="1">IF($C48="","",IF($D48=0,0,ROUND(($D48-(Thresholds_Rates!$C$4*12))*Thresholds_Rates!$C$7,0)))</f>
        <v/>
      </c>
      <c r="J48" s="251" t="str">
        <f ca="1">IF(C48="","",(D48*Thresholds_Rates!$C$9))</f>
        <v/>
      </c>
      <c r="K48" s="251" t="str">
        <f ca="1">IF(C48="","",IF(SUMIF(Grades!$A:$A,$C$6,Grades!$BX:$BX)=0,"-",IF(AND(VLOOKUP($C$6,Grades!$A:$BZ,77,FALSE)="YES",C48&gt;Thresholds_Rates!$C$14),"-",$D48*Thresholds_Rates!$F$15)))</f>
        <v/>
      </c>
      <c r="L48" s="251"/>
      <c r="M48" s="251" t="str">
        <f t="shared" ca="1" si="6"/>
        <v/>
      </c>
      <c r="N48" s="251" t="str">
        <f t="shared" ca="1" si="7"/>
        <v/>
      </c>
      <c r="O48" s="251" t="str">
        <f t="shared" ca="1" si="8"/>
        <v/>
      </c>
      <c r="P48" s="251" t="str">
        <f t="shared" ca="1" si="9"/>
        <v/>
      </c>
      <c r="Q48" s="251" t="str">
        <f t="shared" ca="1" si="10"/>
        <v/>
      </c>
      <c r="S48" s="158" t="str">
        <f ca="1">IF(OR($C48="",$D$10="Salary"),"",SUMIF(INDIRECT("'Points Lookup'!"&amp;VLOOKUP($C$6,Grades!$A:$BZ,3,FALSE)&amp;":"&amp;VLOOKUP($C$6,Grades!$A:$BZ,3,FALSE)),$C48,OFFSET(INDIRECT("'Points Lookup'!"&amp;VLOOKUP($C$6,Grades!$A:$BZ,3,FALSE)&amp;":"&amp;VLOOKUP($C$6,Grades!$A:$BZ,3,FALSE)),0,1)))</f>
        <v/>
      </c>
      <c r="T48" s="159" t="str">
        <f ca="1">IF(OR($C48="",$D$10="Salary"),"",$D48-SUMIF(INDIRECT("'Points Lookup'!"&amp;VLOOKUP($C$6,Grades!$A:$BZ,3,FALSE)&amp;":"&amp;VLOOKUP($C$6,Grades!$A:$BZ,3,FALSE)),$C48,OFFSET(INDIRECT("'Points Lookup'!"&amp;VLOOKUP($C$6,Grades!$A:$BZ,3,FALSE)&amp;":"&amp;VLOOKUP($C$6,Grades!$A:$BZ,3,FALSE)),0,2)))</f>
        <v/>
      </c>
      <c r="U48" s="158" t="str">
        <f ca="1">IF(OR($C48="",$D$10="Salary"),"",SUMIF(INDIRECT("'Points Lookup'!"&amp;VLOOKUP($C$6,Grades!$A:$BZ,3,FALSE)&amp;":"&amp;VLOOKUP($C$6,Grades!$A:$BZ,3,FALSE)),$C48,OFFSET(INDIRECT("'Points Lookup'!"&amp;VLOOKUP($C$6,Grades!$A:$BZ,3,FALSE)&amp;":"&amp;VLOOKUP($C$6,Grades!$A:$BZ,3,FALSE)),0,4)))</f>
        <v/>
      </c>
      <c r="V48" s="159" t="str">
        <f t="shared" ca="1" si="11"/>
        <v/>
      </c>
    </row>
    <row r="49" spans="2:22" x14ac:dyDescent="0.25">
      <c r="B49" s="156">
        <v>39</v>
      </c>
      <c r="C49" s="50" t="str">
        <f ca="1">IFERROR(INDEX('Points Lookup'!$A:$A,MATCH($B49,'Points Lookup'!$AR:$AR,0)),"")</f>
        <v/>
      </c>
      <c r="D49" s="251" t="str">
        <f ca="1">IF(C49="","",SUMIF(INDIRECT("'Points Lookup'!"&amp;VLOOKUP($C$6,Grades!A:BZ,3,FALSE)&amp;":"&amp;VLOOKUP($C$6,Grades!A:BZ,3,FALSE)),C49,INDIRECT("'Points Lookup'!"&amp;VLOOKUP($C$6,Grades!A:BZ,4,FALSE)&amp;":"&amp;VLOOKUP($C$6,Grades!A:Z,4,FALSE))))</f>
        <v/>
      </c>
      <c r="E49" s="251"/>
      <c r="F49" s="251" t="str">
        <f ca="1">IF($C49="","",IF(SUMIF(Grades!$A:$A,$C$6,Grades!$BU:$BU)=0,"-",IF(AND(VLOOKUP($C$6,Grades!$A:$BZ,77,FALSE)="YES",C49&lt;Thresholds_Rates!$C$13),"-",$D49*Thresholds_Rates!$F$12)))</f>
        <v/>
      </c>
      <c r="G49" s="251" t="str">
        <f ca="1">IF(C49="","",IF(OR($C$6="Salary Points 3 to 57",$C$6="Salary Points 3 to 57 (post-pay award)"),"-",IF(SUMIF(Grades!$A:$A,$C$6,Grades!$BV:$BV)=0,"-",$D49*Thresholds_Rates!$F$13)))</f>
        <v/>
      </c>
      <c r="H49" s="251" t="str">
        <f ca="1">IF(C49="","",IF($C$6="Apprenticeship","-",IF(SUMIF(Grades!$A:$A,$C$6,Grades!$BW:$BW)=0,"-",IF(AND(VLOOKUP($C$6,Grades!$A:$BZ,77,FALSE)="YES",C49&gt;Thresholds_Rates!$C$14),"-",$D49*Thresholds_Rates!$F$14))))</f>
        <v/>
      </c>
      <c r="I49" s="251" t="str">
        <f ca="1">IF($C49="","",IF($D49=0,0,ROUND(($D49-(Thresholds_Rates!$C$4*12))*Thresholds_Rates!$C$7,0)))</f>
        <v/>
      </c>
      <c r="J49" s="251" t="str">
        <f ca="1">IF(C49="","",(D49*Thresholds_Rates!$C$9))</f>
        <v/>
      </c>
      <c r="K49" s="251" t="str">
        <f ca="1">IF(C49="","",IF(SUMIF(Grades!$A:$A,$C$6,Grades!$BX:$BX)=0,"-",IF(AND(VLOOKUP($C$6,Grades!$A:$BZ,77,FALSE)="YES",C49&gt;Thresholds_Rates!$C$14),"-",$D49*Thresholds_Rates!$F$15)))</f>
        <v/>
      </c>
      <c r="L49" s="251"/>
      <c r="M49" s="251" t="str">
        <f t="shared" ca="1" si="6"/>
        <v/>
      </c>
      <c r="N49" s="251" t="str">
        <f t="shared" ca="1" si="7"/>
        <v/>
      </c>
      <c r="O49" s="251" t="str">
        <f t="shared" ca="1" si="8"/>
        <v/>
      </c>
      <c r="P49" s="251" t="str">
        <f t="shared" ca="1" si="9"/>
        <v/>
      </c>
      <c r="Q49" s="251" t="str">
        <f t="shared" ca="1" si="10"/>
        <v/>
      </c>
      <c r="S49" s="158" t="str">
        <f ca="1">IF(OR($C49="",$D$10="Salary"),"",SUMIF(INDIRECT("'Points Lookup'!"&amp;VLOOKUP($C$6,Grades!$A:$BZ,3,FALSE)&amp;":"&amp;VLOOKUP($C$6,Grades!$A:$BZ,3,FALSE)),$C49,OFFSET(INDIRECT("'Points Lookup'!"&amp;VLOOKUP($C$6,Grades!$A:$BZ,3,FALSE)&amp;":"&amp;VLOOKUP($C$6,Grades!$A:$BZ,3,FALSE)),0,1)))</f>
        <v/>
      </c>
      <c r="T49" s="159" t="str">
        <f ca="1">IF(OR($C49="",$D$10="Salary"),"",$D49-SUMIF(INDIRECT("'Points Lookup'!"&amp;VLOOKUP($C$6,Grades!$A:$BZ,3,FALSE)&amp;":"&amp;VLOOKUP($C$6,Grades!$A:$BZ,3,FALSE)),$C49,OFFSET(INDIRECT("'Points Lookup'!"&amp;VLOOKUP($C$6,Grades!$A:$BZ,3,FALSE)&amp;":"&amp;VLOOKUP($C$6,Grades!$A:$BZ,3,FALSE)),0,2)))</f>
        <v/>
      </c>
      <c r="U49" s="158" t="str">
        <f ca="1">IF(OR($C49="",$D$10="Salary"),"",SUMIF(INDIRECT("'Points Lookup'!"&amp;VLOOKUP($C$6,Grades!$A:$BZ,3,FALSE)&amp;":"&amp;VLOOKUP($C$6,Grades!$A:$BZ,3,FALSE)),$C49,OFFSET(INDIRECT("'Points Lookup'!"&amp;VLOOKUP($C$6,Grades!$A:$BZ,3,FALSE)&amp;":"&amp;VLOOKUP($C$6,Grades!$A:$BZ,3,FALSE)),0,4)))</f>
        <v/>
      </c>
      <c r="V49" s="159" t="str">
        <f t="shared" ca="1" si="11"/>
        <v/>
      </c>
    </row>
    <row r="50" spans="2:22" x14ac:dyDescent="0.25">
      <c r="B50" s="156">
        <v>40</v>
      </c>
      <c r="C50" s="50" t="str">
        <f ca="1">IFERROR(INDEX('Points Lookup'!$A:$A,MATCH($B50,'Points Lookup'!$AR:$AR,0)),"")</f>
        <v/>
      </c>
      <c r="D50" s="251" t="str">
        <f ca="1">IF(C50="","",SUMIF(INDIRECT("'Points Lookup'!"&amp;VLOOKUP($C$6,Grades!A:BZ,3,FALSE)&amp;":"&amp;VLOOKUP($C$6,Grades!A:BZ,3,FALSE)),C50,INDIRECT("'Points Lookup'!"&amp;VLOOKUP($C$6,Grades!A:BZ,4,FALSE)&amp;":"&amp;VLOOKUP($C$6,Grades!A:Z,4,FALSE))))</f>
        <v/>
      </c>
      <c r="E50" s="251"/>
      <c r="F50" s="251" t="str">
        <f ca="1">IF($C50="","",IF(SUMIF(Grades!$A:$A,$C$6,Grades!$BU:$BU)=0,"-",IF(AND(VLOOKUP($C$6,Grades!$A:$BZ,77,FALSE)="YES",C50&lt;Thresholds_Rates!$C$13),"-",$D50*Thresholds_Rates!$F$12)))</f>
        <v/>
      </c>
      <c r="G50" s="251" t="str">
        <f ca="1">IF(C50="","",IF(OR($C$6="Salary Points 3 to 57",$C$6="Salary Points 3 to 57 (post-pay award)"),"-",IF(SUMIF(Grades!$A:$A,$C$6,Grades!$BV:$BV)=0,"-",$D50*Thresholds_Rates!$F$13)))</f>
        <v/>
      </c>
      <c r="H50" s="251" t="str">
        <f ca="1">IF(C50="","",IF($C$6="Apprenticeship","-",IF(SUMIF(Grades!$A:$A,$C$6,Grades!$BW:$BW)=0,"-",IF(AND(VLOOKUP($C$6,Grades!$A:$BZ,77,FALSE)="YES",C50&gt;Thresholds_Rates!$C$14),"-",$D50*Thresholds_Rates!$F$14))))</f>
        <v/>
      </c>
      <c r="I50" s="251" t="str">
        <f ca="1">IF($C50="","",IF($D50=0,0,ROUND(($D50-(Thresholds_Rates!$C$4*12))*Thresholds_Rates!$C$7,0)))</f>
        <v/>
      </c>
      <c r="J50" s="251" t="str">
        <f ca="1">IF(C50="","",(D50*Thresholds_Rates!$C$9))</f>
        <v/>
      </c>
      <c r="K50" s="251" t="str">
        <f ca="1">IF(C50="","",IF(SUMIF(Grades!$A:$A,$C$6,Grades!$BX:$BX)=0,"-",IF(AND(VLOOKUP($C$6,Grades!$A:$BZ,77,FALSE)="YES",C50&gt;Thresholds_Rates!$C$14),"-",$D50*Thresholds_Rates!$F$15)))</f>
        <v/>
      </c>
      <c r="L50" s="251"/>
      <c r="M50" s="251" t="str">
        <f t="shared" ca="1" si="6"/>
        <v/>
      </c>
      <c r="N50" s="251" t="str">
        <f t="shared" ca="1" si="7"/>
        <v/>
      </c>
      <c r="O50" s="251" t="str">
        <f t="shared" ca="1" si="8"/>
        <v/>
      </c>
      <c r="P50" s="251" t="str">
        <f t="shared" ca="1" si="9"/>
        <v/>
      </c>
      <c r="Q50" s="251" t="str">
        <f t="shared" ca="1" si="10"/>
        <v/>
      </c>
      <c r="S50" s="158" t="str">
        <f ca="1">IF(OR($C50="",$D$10="Salary"),"",SUMIF(INDIRECT("'Points Lookup'!"&amp;VLOOKUP($C$6,Grades!$A:$BZ,3,FALSE)&amp;":"&amp;VLOOKUP($C$6,Grades!$A:$BZ,3,FALSE)),$C50,OFFSET(INDIRECT("'Points Lookup'!"&amp;VLOOKUP($C$6,Grades!$A:$BZ,3,FALSE)&amp;":"&amp;VLOOKUP($C$6,Grades!$A:$BZ,3,FALSE)),0,1)))</f>
        <v/>
      </c>
      <c r="T50" s="159" t="str">
        <f ca="1">IF(OR($C50="",$D$10="Salary"),"",$D50-SUMIF(INDIRECT("'Points Lookup'!"&amp;VLOOKUP($C$6,Grades!$A:$BZ,3,FALSE)&amp;":"&amp;VLOOKUP($C$6,Grades!$A:$BZ,3,FALSE)),$C50,OFFSET(INDIRECT("'Points Lookup'!"&amp;VLOOKUP($C$6,Grades!$A:$BZ,3,FALSE)&amp;":"&amp;VLOOKUP($C$6,Grades!$A:$BZ,3,FALSE)),0,2)))</f>
        <v/>
      </c>
      <c r="U50" s="158" t="str">
        <f ca="1">IF(OR($C50="",$D$10="Salary"),"",SUMIF(INDIRECT("'Points Lookup'!"&amp;VLOOKUP($C$6,Grades!$A:$BZ,3,FALSE)&amp;":"&amp;VLOOKUP($C$6,Grades!$A:$BZ,3,FALSE)),$C50,OFFSET(INDIRECT("'Points Lookup'!"&amp;VLOOKUP($C$6,Grades!$A:$BZ,3,FALSE)&amp;":"&amp;VLOOKUP($C$6,Grades!$A:$BZ,3,FALSE)),0,4)))</f>
        <v/>
      </c>
      <c r="V50" s="159" t="str">
        <f t="shared" ca="1" si="11"/>
        <v/>
      </c>
    </row>
    <row r="51" spans="2:22" x14ac:dyDescent="0.25">
      <c r="B51" s="156">
        <v>41</v>
      </c>
      <c r="C51" s="50" t="str">
        <f ca="1">IFERROR(INDEX('Points Lookup'!$A:$A,MATCH($B51,'Points Lookup'!$AR:$AR,0)),"")</f>
        <v/>
      </c>
      <c r="D51" s="251" t="str">
        <f ca="1">IF(C51="","",SUMIF(INDIRECT("'Points Lookup'!"&amp;VLOOKUP($C$6,Grades!A:BZ,3,FALSE)&amp;":"&amp;VLOOKUP($C$6,Grades!A:BZ,3,FALSE)),C51,INDIRECT("'Points Lookup'!"&amp;VLOOKUP($C$6,Grades!A:BZ,4,FALSE)&amp;":"&amp;VLOOKUP($C$6,Grades!A:Z,4,FALSE))))</f>
        <v/>
      </c>
      <c r="E51" s="251"/>
      <c r="F51" s="251" t="str">
        <f ca="1">IF($C51="","",IF(SUMIF(Grades!$A:$A,$C$6,Grades!$BU:$BU)=0,"-",IF(AND(VLOOKUP($C$6,Grades!$A:$BZ,77,FALSE)="YES",C51&lt;Thresholds_Rates!$C$13),"-",$D51*Thresholds_Rates!$F$12)))</f>
        <v/>
      </c>
      <c r="G51" s="251" t="str">
        <f ca="1">IF(C51="","",IF(OR($C$6="Salary Points 3 to 57",$C$6="Salary Points 3 to 57 (post-pay award)"),"-",IF(SUMIF(Grades!$A:$A,$C$6,Grades!$BV:$BV)=0,"-",$D51*Thresholds_Rates!$F$13)))</f>
        <v/>
      </c>
      <c r="H51" s="251" t="str">
        <f ca="1">IF(C51="","",IF($C$6="Apprenticeship","-",IF(SUMIF(Grades!$A:$A,$C$6,Grades!$BW:$BW)=0,"-",IF(AND(VLOOKUP($C$6,Grades!$A:$BZ,77,FALSE)="YES",C51&gt;Thresholds_Rates!$C$14),"-",$D51*Thresholds_Rates!$F$14))))</f>
        <v/>
      </c>
      <c r="I51" s="251" t="str">
        <f ca="1">IF($C51="","",IF($D51=0,0,ROUND(($D51-(Thresholds_Rates!$C$4*12))*Thresholds_Rates!$C$7,0)))</f>
        <v/>
      </c>
      <c r="J51" s="251" t="str">
        <f ca="1">IF(C51="","",(D51*Thresholds_Rates!$C$9))</f>
        <v/>
      </c>
      <c r="K51" s="251" t="str">
        <f ca="1">IF(C51="","",IF(SUMIF(Grades!$A:$A,$C$6,Grades!$BX:$BX)=0,"-",IF(AND(VLOOKUP($C$6,Grades!$A:$BZ,77,FALSE)="YES",C51&gt;Thresholds_Rates!$C$14),"-",$D51*Thresholds_Rates!$F$15)))</f>
        <v/>
      </c>
      <c r="L51" s="251"/>
      <c r="M51" s="251" t="str">
        <f t="shared" ca="1" si="6"/>
        <v/>
      </c>
      <c r="N51" s="251" t="str">
        <f t="shared" ca="1" si="7"/>
        <v/>
      </c>
      <c r="O51" s="251" t="str">
        <f t="shared" ca="1" si="8"/>
        <v/>
      </c>
      <c r="P51" s="251" t="str">
        <f t="shared" ca="1" si="9"/>
        <v/>
      </c>
      <c r="Q51" s="251" t="str">
        <f t="shared" ca="1" si="10"/>
        <v/>
      </c>
      <c r="S51" s="158" t="str">
        <f ca="1">IF(OR($C51="",$D$10="Salary"),"",SUMIF(INDIRECT("'Points Lookup'!"&amp;VLOOKUP($C$6,Grades!$A:$BZ,3,FALSE)&amp;":"&amp;VLOOKUP($C$6,Grades!$A:$BZ,3,FALSE)),$C51,OFFSET(INDIRECT("'Points Lookup'!"&amp;VLOOKUP($C$6,Grades!$A:$BZ,3,FALSE)&amp;":"&amp;VLOOKUP($C$6,Grades!$A:$BZ,3,FALSE)),0,1)))</f>
        <v/>
      </c>
      <c r="T51" s="159" t="str">
        <f ca="1">IF(OR($C51="",$D$10="Salary"),"",$D51-SUMIF(INDIRECT("'Points Lookup'!"&amp;VLOOKUP($C$6,Grades!$A:$BZ,3,FALSE)&amp;":"&amp;VLOOKUP($C$6,Grades!$A:$BZ,3,FALSE)),$C51,OFFSET(INDIRECT("'Points Lookup'!"&amp;VLOOKUP($C$6,Grades!$A:$BZ,3,FALSE)&amp;":"&amp;VLOOKUP($C$6,Grades!$A:$BZ,3,FALSE)),0,2)))</f>
        <v/>
      </c>
      <c r="U51" s="158" t="str">
        <f ca="1">IF(OR($C51="",$D$10="Salary"),"",SUMIF(INDIRECT("'Points Lookup'!"&amp;VLOOKUP($C$6,Grades!$A:$BZ,3,FALSE)&amp;":"&amp;VLOOKUP($C$6,Grades!$A:$BZ,3,FALSE)),$C51,OFFSET(INDIRECT("'Points Lookup'!"&amp;VLOOKUP($C$6,Grades!$A:$BZ,3,FALSE)&amp;":"&amp;VLOOKUP($C$6,Grades!$A:$BZ,3,FALSE)),0,4)))</f>
        <v/>
      </c>
      <c r="V51" s="159" t="str">
        <f t="shared" ca="1" si="11"/>
        <v/>
      </c>
    </row>
    <row r="52" spans="2:22" x14ac:dyDescent="0.25">
      <c r="B52" s="156">
        <v>42</v>
      </c>
      <c r="C52" s="50" t="str">
        <f ca="1">IFERROR(INDEX('Points Lookup'!$A:$A,MATCH($B52,'Points Lookup'!$AR:$AR,0)),"")</f>
        <v/>
      </c>
      <c r="D52" s="251" t="str">
        <f ca="1">IF(C52="","",SUMIF(INDIRECT("'Points Lookup'!"&amp;VLOOKUP($C$6,Grades!A:BZ,3,FALSE)&amp;":"&amp;VLOOKUP($C$6,Grades!A:BZ,3,FALSE)),C52,INDIRECT("'Points Lookup'!"&amp;VLOOKUP($C$6,Grades!A:BZ,4,FALSE)&amp;":"&amp;VLOOKUP($C$6,Grades!A:Z,4,FALSE))))</f>
        <v/>
      </c>
      <c r="E52" s="251"/>
      <c r="F52" s="251" t="str">
        <f ca="1">IF($C52="","",IF(SUMIF(Grades!$A:$A,$C$6,Grades!$BU:$BU)=0,"-",IF(AND(VLOOKUP($C$6,Grades!$A:$BZ,77,FALSE)="YES",C52&lt;Thresholds_Rates!$C$13),"-",$D52*Thresholds_Rates!$F$12)))</f>
        <v/>
      </c>
      <c r="G52" s="251" t="str">
        <f ca="1">IF(C52="","",IF(OR($C$6="Salary Points 3 to 57",$C$6="Salary Points 3 to 57 (post-pay award)"),"-",IF(SUMIF(Grades!$A:$A,$C$6,Grades!$BV:$BV)=0,"-",$D52*Thresholds_Rates!$F$13)))</f>
        <v/>
      </c>
      <c r="H52" s="251" t="str">
        <f ca="1">IF(C52="","",IF($C$6="Apprenticeship","-",IF(SUMIF(Grades!$A:$A,$C$6,Grades!$BW:$BW)=0,"-",IF(AND(VLOOKUP($C$6,Grades!$A:$BZ,77,FALSE)="YES",C52&gt;Thresholds_Rates!$C$14),"-",$D52*Thresholds_Rates!$F$14))))</f>
        <v/>
      </c>
      <c r="I52" s="251" t="str">
        <f ca="1">IF($C52="","",IF($D52=0,0,ROUND(($D52-(Thresholds_Rates!$C$4*12))*Thresholds_Rates!$C$7,0)))</f>
        <v/>
      </c>
      <c r="J52" s="251" t="str">
        <f ca="1">IF(C52="","",(D52*Thresholds_Rates!$C$9))</f>
        <v/>
      </c>
      <c r="K52" s="251" t="str">
        <f ca="1">IF(C52="","",IF(SUMIF(Grades!$A:$A,$C$6,Grades!$BX:$BX)=0,"-",IF(AND(VLOOKUP($C$6,Grades!$A:$BZ,77,FALSE)="YES",C52&gt;Thresholds_Rates!$C$14),"-",$D52*Thresholds_Rates!$F$15)))</f>
        <v/>
      </c>
      <c r="L52" s="251"/>
      <c r="M52" s="251" t="str">
        <f t="shared" ca="1" si="6"/>
        <v/>
      </c>
      <c r="N52" s="251" t="str">
        <f t="shared" ca="1" si="7"/>
        <v/>
      </c>
      <c r="O52" s="251" t="str">
        <f t="shared" ca="1" si="8"/>
        <v/>
      </c>
      <c r="P52" s="251" t="str">
        <f t="shared" ca="1" si="9"/>
        <v/>
      </c>
      <c r="Q52" s="251" t="str">
        <f t="shared" ca="1" si="10"/>
        <v/>
      </c>
      <c r="S52" s="158" t="str">
        <f ca="1">IF(OR($C52="",$D$10="Salary"),"",SUMIF(INDIRECT("'Points Lookup'!"&amp;VLOOKUP($C$6,Grades!$A:$BZ,3,FALSE)&amp;":"&amp;VLOOKUP($C$6,Grades!$A:$BZ,3,FALSE)),$C52,OFFSET(INDIRECT("'Points Lookup'!"&amp;VLOOKUP($C$6,Grades!$A:$BZ,3,FALSE)&amp;":"&amp;VLOOKUP($C$6,Grades!$A:$BZ,3,FALSE)),0,1)))</f>
        <v/>
      </c>
      <c r="T52" s="159" t="str">
        <f ca="1">IF(OR($C52="",$D$10="Salary"),"",$D52-SUMIF(INDIRECT("'Points Lookup'!"&amp;VLOOKUP($C$6,Grades!$A:$BZ,3,FALSE)&amp;":"&amp;VLOOKUP($C$6,Grades!$A:$BZ,3,FALSE)),$C52,OFFSET(INDIRECT("'Points Lookup'!"&amp;VLOOKUP($C$6,Grades!$A:$BZ,3,FALSE)&amp;":"&amp;VLOOKUP($C$6,Grades!$A:$BZ,3,FALSE)),0,2)))</f>
        <v/>
      </c>
      <c r="U52" s="158" t="str">
        <f ca="1">IF(OR($C52="",$D$10="Salary"),"",SUMIF(INDIRECT("'Points Lookup'!"&amp;VLOOKUP($C$6,Grades!$A:$BZ,3,FALSE)&amp;":"&amp;VLOOKUP($C$6,Grades!$A:$BZ,3,FALSE)),$C52,OFFSET(INDIRECT("'Points Lookup'!"&amp;VLOOKUP($C$6,Grades!$A:$BZ,3,FALSE)&amp;":"&amp;VLOOKUP($C$6,Grades!$A:$BZ,3,FALSE)),0,4)))</f>
        <v/>
      </c>
      <c r="V52" s="159" t="str">
        <f t="shared" ca="1" si="11"/>
        <v/>
      </c>
    </row>
    <row r="53" spans="2:22" x14ac:dyDescent="0.25">
      <c r="B53" s="156">
        <v>43</v>
      </c>
      <c r="C53" s="50" t="str">
        <f ca="1">IFERROR(INDEX('Points Lookup'!$A:$A,MATCH($B53,'Points Lookup'!$AR:$AR,0)),"")</f>
        <v/>
      </c>
      <c r="D53" s="251" t="str">
        <f ca="1">IF(C53="","",SUMIF(INDIRECT("'Points Lookup'!"&amp;VLOOKUP($C$6,Grades!A:BZ,3,FALSE)&amp;":"&amp;VLOOKUP($C$6,Grades!A:BZ,3,FALSE)),C53,INDIRECT("'Points Lookup'!"&amp;VLOOKUP($C$6,Grades!A:BZ,4,FALSE)&amp;":"&amp;VLOOKUP($C$6,Grades!A:Z,4,FALSE))))</f>
        <v/>
      </c>
      <c r="E53" s="251"/>
      <c r="F53" s="251" t="str">
        <f ca="1">IF($C53="","",IF(SUMIF(Grades!$A:$A,$C$6,Grades!$BU:$BU)=0,"-",IF(AND(VLOOKUP($C$6,Grades!$A:$BZ,77,FALSE)="YES",C53&lt;Thresholds_Rates!$C$13),"-",$D53*Thresholds_Rates!$F$12)))</f>
        <v/>
      </c>
      <c r="G53" s="251" t="str">
        <f ca="1">IF(C53="","",IF(OR($C$6="Salary Points 3 to 57",$C$6="Salary Points 3 to 57 (post-pay award)"),"-",IF(SUMIF(Grades!$A:$A,$C$6,Grades!$BV:$BV)=0,"-",$D53*Thresholds_Rates!$F$13)))</f>
        <v/>
      </c>
      <c r="H53" s="251" t="str">
        <f ca="1">IF(C53="","",IF($C$6="Apprenticeship","-",IF(SUMIF(Grades!$A:$A,$C$6,Grades!$BW:$BW)=0,"-",IF(AND(VLOOKUP($C$6,Grades!$A:$BZ,77,FALSE)="YES",C53&gt;Thresholds_Rates!$C$14),"-",$D53*Thresholds_Rates!$F$14))))</f>
        <v/>
      </c>
      <c r="I53" s="251" t="str">
        <f ca="1">IF($C53="","",IF($D53=0,0,ROUND(($D53-(Thresholds_Rates!$C$4*12))*Thresholds_Rates!$C$7,0)))</f>
        <v/>
      </c>
      <c r="J53" s="251" t="str">
        <f ca="1">IF(C53="","",(D53*Thresholds_Rates!$C$9))</f>
        <v/>
      </c>
      <c r="K53" s="251" t="str">
        <f ca="1">IF(C53="","",IF(SUMIF(Grades!$A:$A,$C$6,Grades!$BX:$BX)=0,"-",IF(AND(VLOOKUP($C$6,Grades!$A:$BZ,77,FALSE)="YES",C53&gt;Thresholds_Rates!$C$14),"-",$D53*Thresholds_Rates!$F$15)))</f>
        <v/>
      </c>
      <c r="L53" s="251"/>
      <c r="M53" s="251" t="str">
        <f t="shared" ca="1" si="6"/>
        <v/>
      </c>
      <c r="N53" s="251" t="str">
        <f t="shared" ca="1" si="7"/>
        <v/>
      </c>
      <c r="O53" s="251" t="str">
        <f t="shared" ca="1" si="8"/>
        <v/>
      </c>
      <c r="P53" s="251" t="str">
        <f t="shared" ca="1" si="9"/>
        <v/>
      </c>
      <c r="Q53" s="251" t="str">
        <f t="shared" ca="1" si="10"/>
        <v/>
      </c>
      <c r="S53" s="158" t="str">
        <f ca="1">IF(OR($C53="",$D$10="Salary"),"",SUMIF(INDIRECT("'Points Lookup'!"&amp;VLOOKUP($C$6,Grades!$A:$BZ,3,FALSE)&amp;":"&amp;VLOOKUP($C$6,Grades!$A:$BZ,3,FALSE)),$C53,OFFSET(INDIRECT("'Points Lookup'!"&amp;VLOOKUP($C$6,Grades!$A:$BZ,3,FALSE)&amp;":"&amp;VLOOKUP($C$6,Grades!$A:$BZ,3,FALSE)),0,1)))</f>
        <v/>
      </c>
      <c r="T53" s="159" t="str">
        <f ca="1">IF(OR($C53="",$D$10="Salary"),"",$D53-SUMIF(INDIRECT("'Points Lookup'!"&amp;VLOOKUP($C$6,Grades!$A:$BZ,3,FALSE)&amp;":"&amp;VLOOKUP($C$6,Grades!$A:$BZ,3,FALSE)),$C53,OFFSET(INDIRECT("'Points Lookup'!"&amp;VLOOKUP($C$6,Grades!$A:$BZ,3,FALSE)&amp;":"&amp;VLOOKUP($C$6,Grades!$A:$BZ,3,FALSE)),0,2)))</f>
        <v/>
      </c>
      <c r="U53" s="158" t="str">
        <f ca="1">IF(OR($C53="",$D$10="Salary"),"",SUMIF(INDIRECT("'Points Lookup'!"&amp;VLOOKUP($C$6,Grades!$A:$BZ,3,FALSE)&amp;":"&amp;VLOOKUP($C$6,Grades!$A:$BZ,3,FALSE)),$C53,OFFSET(INDIRECT("'Points Lookup'!"&amp;VLOOKUP($C$6,Grades!$A:$BZ,3,FALSE)&amp;":"&amp;VLOOKUP($C$6,Grades!$A:$BZ,3,FALSE)),0,4)))</f>
        <v/>
      </c>
      <c r="V53" s="159" t="str">
        <f t="shared" ca="1" si="11"/>
        <v/>
      </c>
    </row>
    <row r="54" spans="2:22" x14ac:dyDescent="0.25">
      <c r="B54" s="156">
        <v>44</v>
      </c>
      <c r="C54" s="50" t="str">
        <f ca="1">IFERROR(INDEX('Points Lookup'!$A:$A,MATCH($B54,'Points Lookup'!$AR:$AR,0)),"")</f>
        <v/>
      </c>
      <c r="D54" s="251" t="str">
        <f ca="1">IF(C54="","",SUMIF(INDIRECT("'Points Lookup'!"&amp;VLOOKUP($C$6,Grades!A:BZ,3,FALSE)&amp;":"&amp;VLOOKUP($C$6,Grades!A:BZ,3,FALSE)),C54,INDIRECT("'Points Lookup'!"&amp;VLOOKUP($C$6,Grades!A:BZ,4,FALSE)&amp;":"&amp;VLOOKUP($C$6,Grades!A:Z,4,FALSE))))</f>
        <v/>
      </c>
      <c r="E54" s="251"/>
      <c r="F54" s="251" t="str">
        <f ca="1">IF($C54="","",IF(SUMIF(Grades!$A:$A,$C$6,Grades!$BU:$BU)=0,"-",IF(AND(VLOOKUP($C$6,Grades!$A:$BZ,77,FALSE)="YES",C54&lt;Thresholds_Rates!$C$13),"-",$D54*Thresholds_Rates!$F$12)))</f>
        <v/>
      </c>
      <c r="G54" s="251" t="str">
        <f ca="1">IF(C54="","",IF(OR($C$6="Salary Points 3 to 57",$C$6="Salary Points 3 to 57 (post-pay award)"),"-",IF(SUMIF(Grades!$A:$A,$C$6,Grades!$BV:$BV)=0,"-",$D54*Thresholds_Rates!$F$13)))</f>
        <v/>
      </c>
      <c r="H54" s="251" t="str">
        <f ca="1">IF(C54="","",IF($C$6="Apprenticeship","-",IF(SUMIF(Grades!$A:$A,$C$6,Grades!$BW:$BW)=0,"-",IF(AND(VLOOKUP($C$6,Grades!$A:$BZ,77,FALSE)="YES",C54&gt;Thresholds_Rates!$C$14),"-",$D54*Thresholds_Rates!$F$14))))</f>
        <v/>
      </c>
      <c r="I54" s="251" t="str">
        <f ca="1">IF($C54="","",IF($D54=0,0,ROUND(($D54-(Thresholds_Rates!$C$4*12))*Thresholds_Rates!$C$7,0)))</f>
        <v/>
      </c>
      <c r="J54" s="251" t="str">
        <f ca="1">IF(C54="","",(D54*Thresholds_Rates!$C$9))</f>
        <v/>
      </c>
      <c r="K54" s="251" t="str">
        <f ca="1">IF(C54="","",IF(SUMIF(Grades!$A:$A,$C$6,Grades!$BX:$BX)=0,"-",IF(AND(VLOOKUP($C$6,Grades!$A:$BZ,77,FALSE)="YES",C54&gt;Thresholds_Rates!$C$14),"-",$D54*Thresholds_Rates!$F$15)))</f>
        <v/>
      </c>
      <c r="L54" s="251"/>
      <c r="M54" s="251" t="str">
        <f t="shared" ca="1" si="6"/>
        <v/>
      </c>
      <c r="N54" s="251" t="str">
        <f t="shared" ca="1" si="7"/>
        <v/>
      </c>
      <c r="O54" s="251" t="str">
        <f t="shared" ca="1" si="8"/>
        <v/>
      </c>
      <c r="P54" s="251" t="str">
        <f t="shared" ca="1" si="9"/>
        <v/>
      </c>
      <c r="Q54" s="251" t="str">
        <f t="shared" ca="1" si="10"/>
        <v/>
      </c>
      <c r="S54" s="158" t="str">
        <f ca="1">IF(OR($C54="",$D$10="Salary"),"",SUMIF(INDIRECT("'Points Lookup'!"&amp;VLOOKUP($C$6,Grades!$A:$BZ,3,FALSE)&amp;":"&amp;VLOOKUP($C$6,Grades!$A:$BZ,3,FALSE)),$C54,OFFSET(INDIRECT("'Points Lookup'!"&amp;VLOOKUP($C$6,Grades!$A:$BZ,3,FALSE)&amp;":"&amp;VLOOKUP($C$6,Grades!$A:$BZ,3,FALSE)),0,1)))</f>
        <v/>
      </c>
      <c r="T54" s="159" t="str">
        <f ca="1">IF(OR($C54="",$D$10="Salary"),"",$D54-SUMIF(INDIRECT("'Points Lookup'!"&amp;VLOOKUP($C$6,Grades!$A:$BZ,3,FALSE)&amp;":"&amp;VLOOKUP($C$6,Grades!$A:$BZ,3,FALSE)),$C54,OFFSET(INDIRECT("'Points Lookup'!"&amp;VLOOKUP($C$6,Grades!$A:$BZ,3,FALSE)&amp;":"&amp;VLOOKUP($C$6,Grades!$A:$BZ,3,FALSE)),0,2)))</f>
        <v/>
      </c>
      <c r="U54" s="158" t="str">
        <f ca="1">IF(OR($C54="",$D$10="Salary"),"",SUMIF(INDIRECT("'Points Lookup'!"&amp;VLOOKUP($C$6,Grades!$A:$BZ,3,FALSE)&amp;":"&amp;VLOOKUP($C$6,Grades!$A:$BZ,3,FALSE)),$C54,OFFSET(INDIRECT("'Points Lookup'!"&amp;VLOOKUP($C$6,Grades!$A:$BZ,3,FALSE)&amp;":"&amp;VLOOKUP($C$6,Grades!$A:$BZ,3,FALSE)),0,4)))</f>
        <v/>
      </c>
      <c r="V54" s="159" t="str">
        <f t="shared" ca="1" si="11"/>
        <v/>
      </c>
    </row>
    <row r="55" spans="2:22" x14ac:dyDescent="0.25">
      <c r="B55" s="156">
        <v>45</v>
      </c>
      <c r="C55" s="50" t="str">
        <f ca="1">IFERROR(INDEX('Points Lookup'!$A:$A,MATCH($B55,'Points Lookup'!$AR:$AR,0)),"")</f>
        <v/>
      </c>
      <c r="D55" s="251" t="str">
        <f ca="1">IF(C55="","",SUMIF(INDIRECT("'Points Lookup'!"&amp;VLOOKUP($C$6,Grades!A:BZ,3,FALSE)&amp;":"&amp;VLOOKUP($C$6,Grades!A:BZ,3,FALSE)),C55,INDIRECT("'Points Lookup'!"&amp;VLOOKUP($C$6,Grades!A:BZ,4,FALSE)&amp;":"&amp;VLOOKUP($C$6,Grades!A:Z,4,FALSE))))</f>
        <v/>
      </c>
      <c r="E55" s="251"/>
      <c r="F55" s="251" t="str">
        <f ca="1">IF($C55="","",IF(SUMIF(Grades!$A:$A,$C$6,Grades!$BU:$BU)=0,"-",IF(AND(VLOOKUP($C$6,Grades!$A:$BZ,77,FALSE)="YES",C55&lt;Thresholds_Rates!$C$13),"-",$D55*Thresholds_Rates!$F$12)))</f>
        <v/>
      </c>
      <c r="G55" s="251" t="str">
        <f ca="1">IF(C55="","",IF(OR($C$6="Salary Points 3 to 57",$C$6="Salary Points 3 to 57 (post-pay award)"),"-",IF(SUMIF(Grades!$A:$A,$C$6,Grades!$BV:$BV)=0,"-",$D55*Thresholds_Rates!$F$13)))</f>
        <v/>
      </c>
      <c r="H55" s="251" t="str">
        <f ca="1">IF(C55="","",IF($C$6="Apprenticeship","-",IF(SUMIF(Grades!$A:$A,$C$6,Grades!$BW:$BW)=0,"-",IF(AND(VLOOKUP($C$6,Grades!$A:$BZ,77,FALSE)="YES",C55&gt;Thresholds_Rates!$C$14),"-",$D55*Thresholds_Rates!$F$14))))</f>
        <v/>
      </c>
      <c r="I55" s="251" t="str">
        <f ca="1">IF($C55="","",IF($D55=0,0,ROUND(($D55-(Thresholds_Rates!$C$4*12))*Thresholds_Rates!$C$7,0)))</f>
        <v/>
      </c>
      <c r="J55" s="251" t="str">
        <f ca="1">IF(C55="","",(D55*Thresholds_Rates!$C$9))</f>
        <v/>
      </c>
      <c r="K55" s="251" t="str">
        <f ca="1">IF(C55="","",IF(SUMIF(Grades!$A:$A,$C$6,Grades!$BX:$BX)=0,"-",IF(AND(VLOOKUP($C$6,Grades!$A:$BZ,77,FALSE)="YES",C55&gt;Thresholds_Rates!$C$14),"-",$D55*Thresholds_Rates!$F$15)))</f>
        <v/>
      </c>
      <c r="L55" s="251"/>
      <c r="M55" s="251" t="str">
        <f t="shared" ca="1" si="6"/>
        <v/>
      </c>
      <c r="N55" s="251" t="str">
        <f t="shared" ca="1" si="7"/>
        <v/>
      </c>
      <c r="O55" s="251" t="str">
        <f t="shared" ca="1" si="8"/>
        <v/>
      </c>
      <c r="P55" s="251" t="str">
        <f t="shared" ca="1" si="9"/>
        <v/>
      </c>
      <c r="Q55" s="251" t="str">
        <f t="shared" ca="1" si="10"/>
        <v/>
      </c>
      <c r="S55" s="158" t="str">
        <f ca="1">IF(OR($C55="",$D$10="Salary"),"",SUMIF(INDIRECT("'Points Lookup'!"&amp;VLOOKUP($C$6,Grades!$A:$BZ,3,FALSE)&amp;":"&amp;VLOOKUP($C$6,Grades!$A:$BZ,3,FALSE)),$C55,OFFSET(INDIRECT("'Points Lookup'!"&amp;VLOOKUP($C$6,Grades!$A:$BZ,3,FALSE)&amp;":"&amp;VLOOKUP($C$6,Grades!$A:$BZ,3,FALSE)),0,1)))</f>
        <v/>
      </c>
      <c r="T55" s="159" t="str">
        <f ca="1">IF(OR($C55="",$D$10="Salary"),"",$D55-SUMIF(INDIRECT("'Points Lookup'!"&amp;VLOOKUP($C$6,Grades!$A:$BZ,3,FALSE)&amp;":"&amp;VLOOKUP($C$6,Grades!$A:$BZ,3,FALSE)),$C55,OFFSET(INDIRECT("'Points Lookup'!"&amp;VLOOKUP($C$6,Grades!$A:$BZ,3,FALSE)&amp;":"&amp;VLOOKUP($C$6,Grades!$A:$BZ,3,FALSE)),0,2)))</f>
        <v/>
      </c>
      <c r="U55" s="158" t="str">
        <f ca="1">IF(OR($C55="",$D$10="Salary"),"",SUMIF(INDIRECT("'Points Lookup'!"&amp;VLOOKUP($C$6,Grades!$A:$BZ,3,FALSE)&amp;":"&amp;VLOOKUP($C$6,Grades!$A:$BZ,3,FALSE)),$C55,OFFSET(INDIRECT("'Points Lookup'!"&amp;VLOOKUP($C$6,Grades!$A:$BZ,3,FALSE)&amp;":"&amp;VLOOKUP($C$6,Grades!$A:$BZ,3,FALSE)),0,4)))</f>
        <v/>
      </c>
      <c r="V55" s="159" t="str">
        <f t="shared" ca="1" si="11"/>
        <v/>
      </c>
    </row>
    <row r="56" spans="2:22" x14ac:dyDescent="0.25">
      <c r="B56" s="156">
        <v>46</v>
      </c>
      <c r="C56" s="50" t="str">
        <f ca="1">IFERROR(INDEX('Points Lookup'!$A:$A,MATCH($B56,'Points Lookup'!$AR:$AR,0)),"")</f>
        <v/>
      </c>
      <c r="D56" s="251" t="str">
        <f ca="1">IF(C56="","",SUMIF(INDIRECT("'Points Lookup'!"&amp;VLOOKUP($C$6,Grades!A:BZ,3,FALSE)&amp;":"&amp;VLOOKUP($C$6,Grades!A:BZ,3,FALSE)),C56,INDIRECT("'Points Lookup'!"&amp;VLOOKUP($C$6,Grades!A:BZ,4,FALSE)&amp;":"&amp;VLOOKUP($C$6,Grades!A:Z,4,FALSE))))</f>
        <v/>
      </c>
      <c r="E56" s="251"/>
      <c r="F56" s="251" t="str">
        <f ca="1">IF($C56="","",IF(SUMIF(Grades!$A:$A,$C$6,Grades!$BU:$BU)=0,"-",IF(AND(VLOOKUP($C$6,Grades!$A:$BZ,77,FALSE)="YES",C56&lt;Thresholds_Rates!$C$13),"-",$D56*Thresholds_Rates!$F$12)))</f>
        <v/>
      </c>
      <c r="G56" s="251" t="str">
        <f ca="1">IF(C56="","",IF(OR($C$6="Salary Points 3 to 57",$C$6="Salary Points 3 to 57 (post-pay award)"),"-",IF(SUMIF(Grades!$A:$A,$C$6,Grades!$BV:$BV)=0,"-",$D56*Thresholds_Rates!$F$13)))</f>
        <v/>
      </c>
      <c r="H56" s="251" t="str">
        <f ca="1">IF(C56="","",IF($C$6="Apprenticeship","-",IF(SUMIF(Grades!$A:$A,$C$6,Grades!$BW:$BW)=0,"-",IF(AND(VLOOKUP($C$6,Grades!$A:$BZ,77,FALSE)="YES",C56&gt;Thresholds_Rates!$C$14),"-",$D56*Thresholds_Rates!$F$14))))</f>
        <v/>
      </c>
      <c r="I56" s="251" t="str">
        <f ca="1">IF($C56="","",IF($D56=0,0,ROUND(($D56-(Thresholds_Rates!$C$4*12))*Thresholds_Rates!$C$7,0)))</f>
        <v/>
      </c>
      <c r="J56" s="251" t="str">
        <f ca="1">IF(C56="","",(D56*Thresholds_Rates!$C$9))</f>
        <v/>
      </c>
      <c r="K56" s="251" t="str">
        <f ca="1">IF(C56="","",IF(SUMIF(Grades!$A:$A,$C$6,Grades!$BX:$BX)=0,"-",IF(AND(VLOOKUP($C$6,Grades!$A:$BZ,77,FALSE)="YES",C56&gt;Thresholds_Rates!$C$14),"-",$D56*Thresholds_Rates!$F$15)))</f>
        <v/>
      </c>
      <c r="L56" s="251"/>
      <c r="M56" s="251" t="str">
        <f t="shared" ca="1" si="6"/>
        <v/>
      </c>
      <c r="N56" s="251" t="str">
        <f t="shared" ca="1" si="7"/>
        <v/>
      </c>
      <c r="O56" s="251" t="str">
        <f t="shared" ca="1" si="8"/>
        <v/>
      </c>
      <c r="P56" s="251" t="str">
        <f t="shared" ca="1" si="9"/>
        <v/>
      </c>
      <c r="Q56" s="251" t="str">
        <f t="shared" ca="1" si="10"/>
        <v/>
      </c>
      <c r="S56" s="158" t="str">
        <f ca="1">IF(OR($C56="",$D$10="Salary"),"",SUMIF(INDIRECT("'Points Lookup'!"&amp;VLOOKUP($C$6,Grades!$A:$BZ,3,FALSE)&amp;":"&amp;VLOOKUP($C$6,Grades!$A:$BZ,3,FALSE)),$C56,OFFSET(INDIRECT("'Points Lookup'!"&amp;VLOOKUP($C$6,Grades!$A:$BZ,3,FALSE)&amp;":"&amp;VLOOKUP($C$6,Grades!$A:$BZ,3,FALSE)),0,1)))</f>
        <v/>
      </c>
      <c r="T56" s="159" t="str">
        <f ca="1">IF(OR($C56="",$D$10="Salary"),"",$D56-SUMIF(INDIRECT("'Points Lookup'!"&amp;VLOOKUP($C$6,Grades!$A:$BZ,3,FALSE)&amp;":"&amp;VLOOKUP($C$6,Grades!$A:$BZ,3,FALSE)),$C56,OFFSET(INDIRECT("'Points Lookup'!"&amp;VLOOKUP($C$6,Grades!$A:$BZ,3,FALSE)&amp;":"&amp;VLOOKUP($C$6,Grades!$A:$BZ,3,FALSE)),0,2)))</f>
        <v/>
      </c>
      <c r="U56" s="158" t="str">
        <f ca="1">IF(OR($C56="",$D$10="Salary"),"",SUMIF(INDIRECT("'Points Lookup'!"&amp;VLOOKUP($C$6,Grades!$A:$BZ,3,FALSE)&amp;":"&amp;VLOOKUP($C$6,Grades!$A:$BZ,3,FALSE)),$C56,OFFSET(INDIRECT("'Points Lookup'!"&amp;VLOOKUP($C$6,Grades!$A:$BZ,3,FALSE)&amp;":"&amp;VLOOKUP($C$6,Grades!$A:$BZ,3,FALSE)),0,4)))</f>
        <v/>
      </c>
      <c r="V56" s="159" t="str">
        <f t="shared" ca="1" si="11"/>
        <v/>
      </c>
    </row>
    <row r="57" spans="2:22" x14ac:dyDescent="0.25">
      <c r="B57" s="156">
        <v>47</v>
      </c>
      <c r="C57" s="50" t="str">
        <f ca="1">IFERROR(INDEX('Points Lookup'!$A:$A,MATCH($B57,'Points Lookup'!$AR:$AR,0)),"")</f>
        <v/>
      </c>
      <c r="D57" s="251" t="str">
        <f ca="1">IF(C57="","",SUMIF(INDIRECT("'Points Lookup'!"&amp;VLOOKUP($C$6,Grades!A:BZ,3,FALSE)&amp;":"&amp;VLOOKUP($C$6,Grades!A:BZ,3,FALSE)),C57,INDIRECT("'Points Lookup'!"&amp;VLOOKUP($C$6,Grades!A:BZ,4,FALSE)&amp;":"&amp;VLOOKUP($C$6,Grades!A:Z,4,FALSE))))</f>
        <v/>
      </c>
      <c r="E57" s="251"/>
      <c r="F57" s="251" t="str">
        <f ca="1">IF($C57="","",IF(SUMIF(Grades!$A:$A,$C$6,Grades!$BU:$BU)=0,"-",IF(AND(VLOOKUP($C$6,Grades!$A:$BZ,77,FALSE)="YES",C57&lt;Thresholds_Rates!$C$13),"-",$D57*Thresholds_Rates!$F$12)))</f>
        <v/>
      </c>
      <c r="G57" s="251" t="str">
        <f ca="1">IF(C57="","",IF(OR($C$6="Salary Points 3 to 57",$C$6="Salary Points 3 to 57 (post-pay award)"),"-",IF(SUMIF(Grades!$A:$A,$C$6,Grades!$BV:$BV)=0,"-",$D57*Thresholds_Rates!$F$13)))</f>
        <v/>
      </c>
      <c r="H57" s="251" t="str">
        <f ca="1">IF(C57="","",IF($C$6="Apprenticeship","-",IF(SUMIF(Grades!$A:$A,$C$6,Grades!$BW:$BW)=0,"-",IF(AND(VLOOKUP($C$6,Grades!$A:$BZ,77,FALSE)="YES",C57&gt;Thresholds_Rates!$C$14),"-",$D57*Thresholds_Rates!$F$14))))</f>
        <v/>
      </c>
      <c r="I57" s="251" t="str">
        <f ca="1">IF($C57="","",IF($D57=0,0,ROUND(($D57-(Thresholds_Rates!$C$4*12))*Thresholds_Rates!$C$7,0)))</f>
        <v/>
      </c>
      <c r="J57" s="251" t="str">
        <f ca="1">IF(C57="","",(D57*Thresholds_Rates!$C$9))</f>
        <v/>
      </c>
      <c r="K57" s="251" t="str">
        <f ca="1">IF(C57="","",IF(SUMIF(Grades!$A:$A,$C$6,Grades!$BX:$BX)=0,"-",IF(AND(VLOOKUP($C$6,Grades!$A:$BZ,77,FALSE)="YES",C57&gt;Thresholds_Rates!$C$14),"-",$D57*Thresholds_Rates!$F$15)))</f>
        <v/>
      </c>
      <c r="L57" s="251"/>
      <c r="M57" s="251" t="str">
        <f t="shared" ca="1" si="6"/>
        <v/>
      </c>
      <c r="N57" s="251" t="str">
        <f t="shared" ca="1" si="7"/>
        <v/>
      </c>
      <c r="O57" s="251" t="str">
        <f t="shared" ca="1" si="8"/>
        <v/>
      </c>
      <c r="P57" s="251" t="str">
        <f t="shared" ca="1" si="9"/>
        <v/>
      </c>
      <c r="Q57" s="251" t="str">
        <f t="shared" ca="1" si="10"/>
        <v/>
      </c>
      <c r="S57" s="158" t="str">
        <f ca="1">IF(OR($C57="",$D$10="Salary"),"",SUMIF(INDIRECT("'Points Lookup'!"&amp;VLOOKUP($C$6,Grades!$A:$BZ,3,FALSE)&amp;":"&amp;VLOOKUP($C$6,Grades!$A:$BZ,3,FALSE)),$C57,OFFSET(INDIRECT("'Points Lookup'!"&amp;VLOOKUP($C$6,Grades!$A:$BZ,3,FALSE)&amp;":"&amp;VLOOKUP($C$6,Grades!$A:$BZ,3,FALSE)),0,1)))</f>
        <v/>
      </c>
      <c r="T57" s="159" t="str">
        <f ca="1">IF(OR($C57="",$D$10="Salary"),"",$D57-SUMIF(INDIRECT("'Points Lookup'!"&amp;VLOOKUP($C$6,Grades!$A:$BZ,3,FALSE)&amp;":"&amp;VLOOKUP($C$6,Grades!$A:$BZ,3,FALSE)),$C57,OFFSET(INDIRECT("'Points Lookup'!"&amp;VLOOKUP($C$6,Grades!$A:$BZ,3,FALSE)&amp;":"&amp;VLOOKUP($C$6,Grades!$A:$BZ,3,FALSE)),0,2)))</f>
        <v/>
      </c>
      <c r="U57" s="158" t="str">
        <f ca="1">IF(OR($C57="",$D$10="Salary"),"",SUMIF(INDIRECT("'Points Lookup'!"&amp;VLOOKUP($C$6,Grades!$A:$BZ,3,FALSE)&amp;":"&amp;VLOOKUP($C$6,Grades!$A:$BZ,3,FALSE)),$C57,OFFSET(INDIRECT("'Points Lookup'!"&amp;VLOOKUP($C$6,Grades!$A:$BZ,3,FALSE)&amp;":"&amp;VLOOKUP($C$6,Grades!$A:$BZ,3,FALSE)),0,4)))</f>
        <v/>
      </c>
      <c r="V57" s="159" t="str">
        <f t="shared" ca="1" si="11"/>
        <v/>
      </c>
    </row>
    <row r="58" spans="2:22" x14ac:dyDescent="0.25">
      <c r="B58" s="156">
        <v>48</v>
      </c>
      <c r="C58" s="50" t="str">
        <f ca="1">IFERROR(INDEX('Points Lookup'!$A:$A,MATCH($B58,'Points Lookup'!$AR:$AR,0)),"")</f>
        <v/>
      </c>
      <c r="D58" s="251" t="str">
        <f ca="1">IF(C58="","",SUMIF(INDIRECT("'Points Lookup'!"&amp;VLOOKUP($C$6,Grades!A:BZ,3,FALSE)&amp;":"&amp;VLOOKUP($C$6,Grades!A:BZ,3,FALSE)),C58,INDIRECT("'Points Lookup'!"&amp;VLOOKUP($C$6,Grades!A:BZ,4,FALSE)&amp;":"&amp;VLOOKUP($C$6,Grades!A:Z,4,FALSE))))</f>
        <v/>
      </c>
      <c r="E58" s="251"/>
      <c r="F58" s="251" t="str">
        <f ca="1">IF($C58="","",IF(SUMIF(Grades!$A:$A,$C$6,Grades!$BU:$BU)=0,"-",IF(AND(VLOOKUP($C$6,Grades!$A:$BZ,77,FALSE)="YES",C58&lt;Thresholds_Rates!$C$13),"-",$D58*Thresholds_Rates!$F$12)))</f>
        <v/>
      </c>
      <c r="G58" s="251" t="str">
        <f ca="1">IF(C58="","",IF(OR($C$6="Salary Points 3 to 57",$C$6="Salary Points 3 to 57 (post-pay award)"),"-",IF(SUMIF(Grades!$A:$A,$C$6,Grades!$BV:$BV)=0,"-",$D58*Thresholds_Rates!$F$13)))</f>
        <v/>
      </c>
      <c r="H58" s="251" t="str">
        <f ca="1">IF(C58="","",IF($C$6="Apprenticeship","-",IF(SUMIF(Grades!$A:$A,$C$6,Grades!$BW:$BW)=0,"-",IF(AND(VLOOKUP($C$6,Grades!$A:$BZ,77,FALSE)="YES",C58&gt;Thresholds_Rates!$C$14),"-",$D58*Thresholds_Rates!$F$14))))</f>
        <v/>
      </c>
      <c r="I58" s="251" t="str">
        <f ca="1">IF($C58="","",IF($D58=0,0,ROUND(($D58-(Thresholds_Rates!$C$4*12))*Thresholds_Rates!$C$7,0)))</f>
        <v/>
      </c>
      <c r="J58" s="251" t="str">
        <f ca="1">IF(C58="","",(D58*Thresholds_Rates!$C$9))</f>
        <v/>
      </c>
      <c r="K58" s="251" t="str">
        <f ca="1">IF(C58="","",IF(SUMIF(Grades!$A:$A,$C$6,Grades!$BX:$BX)=0,"-",IF(AND(VLOOKUP($C$6,Grades!$A:$BZ,77,FALSE)="YES",C58&gt;Thresholds_Rates!$C$14),"-",$D58*Thresholds_Rates!$F$15)))</f>
        <v/>
      </c>
      <c r="L58" s="251"/>
      <c r="M58" s="251" t="str">
        <f t="shared" ca="1" si="6"/>
        <v/>
      </c>
      <c r="N58" s="251" t="str">
        <f t="shared" ca="1" si="7"/>
        <v/>
      </c>
      <c r="O58" s="251" t="str">
        <f t="shared" ca="1" si="8"/>
        <v/>
      </c>
      <c r="P58" s="251" t="str">
        <f t="shared" ca="1" si="9"/>
        <v/>
      </c>
      <c r="Q58" s="251" t="str">
        <f t="shared" ca="1" si="10"/>
        <v/>
      </c>
      <c r="S58" s="158" t="str">
        <f ca="1">IF(OR($C58="",$D$10="Salary"),"",SUMIF(INDIRECT("'Points Lookup'!"&amp;VLOOKUP($C$6,Grades!$A:$BZ,3,FALSE)&amp;":"&amp;VLOOKUP($C$6,Grades!$A:$BZ,3,FALSE)),$C58,OFFSET(INDIRECT("'Points Lookup'!"&amp;VLOOKUP($C$6,Grades!$A:$BZ,3,FALSE)&amp;":"&amp;VLOOKUP($C$6,Grades!$A:$BZ,3,FALSE)),0,1)))</f>
        <v/>
      </c>
      <c r="T58" s="159" t="str">
        <f ca="1">IF(OR($C58="",$D$10="Salary"),"",$D58-SUMIF(INDIRECT("'Points Lookup'!"&amp;VLOOKUP($C$6,Grades!$A:$BZ,3,FALSE)&amp;":"&amp;VLOOKUP($C$6,Grades!$A:$BZ,3,FALSE)),$C58,OFFSET(INDIRECT("'Points Lookup'!"&amp;VLOOKUP($C$6,Grades!$A:$BZ,3,FALSE)&amp;":"&amp;VLOOKUP($C$6,Grades!$A:$BZ,3,FALSE)),0,2)))</f>
        <v/>
      </c>
      <c r="U58" s="158" t="str">
        <f ca="1">IF(OR($C58="",$D$10="Salary"),"",SUMIF(INDIRECT("'Points Lookup'!"&amp;VLOOKUP($C$6,Grades!$A:$BZ,3,FALSE)&amp;":"&amp;VLOOKUP($C$6,Grades!$A:$BZ,3,FALSE)),$C58,OFFSET(INDIRECT("'Points Lookup'!"&amp;VLOOKUP($C$6,Grades!$A:$BZ,3,FALSE)&amp;":"&amp;VLOOKUP($C$6,Grades!$A:$BZ,3,FALSE)),0,4)))</f>
        <v/>
      </c>
      <c r="V58" s="159" t="str">
        <f t="shared" ca="1" si="11"/>
        <v/>
      </c>
    </row>
    <row r="59" spans="2:22" x14ac:dyDescent="0.25">
      <c r="B59" s="156">
        <v>49</v>
      </c>
      <c r="C59" s="50" t="str">
        <f ca="1">IFERROR(INDEX('Points Lookup'!$A:$A,MATCH($B59,'Points Lookup'!$AR:$AR,0)),"")</f>
        <v/>
      </c>
      <c r="D59" s="58" t="str">
        <f ca="1">IF(C59="","",SUMIF(INDIRECT("'Points Lookup'!"&amp;VLOOKUP($C$6,Grades!A:BZ,3,FALSE)&amp;":"&amp;VLOOKUP($C$6,Grades!A:BZ,3,FALSE)),C59,INDIRECT("'Points Lookup'!"&amp;VLOOKUP($C$6,Grades!A:BZ,4,FALSE)&amp;":"&amp;VLOOKUP($C$6,Grades!A:Z,4,FALSE))))</f>
        <v/>
      </c>
      <c r="E59" s="58"/>
      <c r="F59" s="58" t="str">
        <f ca="1">IF($C59="","",IF(SUMIF(Grades!$A:$A,$C$6,Grades!$BU:$BU)=0,"-",IF(AND(VLOOKUP($C$6,Grades!$A:$BZ,77,FALSE)="YES",C59&lt;Thresholds_Rates!$C$13),"-",$D59*Thresholds_Rates!$F$12)))</f>
        <v/>
      </c>
      <c r="G59" s="58" t="str">
        <f ca="1">IF(C59="","",IF(OR($C$6="Salary Points 3 to 57",$C$6="Salary Points 3 to 57 (post-pay award)"),"-",IF(SUMIF(Grades!$A:$A,$C$6,Grades!$BV:$BV)=0,"-",$D59*Thresholds_Rates!$F$13)))</f>
        <v/>
      </c>
      <c r="H59" s="58" t="str">
        <f ca="1">IF(C59="","",IF($C$6="Apprenticeship","-",IF(SUMIF(Grades!$A:$A,$C$6,Grades!$BW:$BW)=0,"-",IF(AND(VLOOKUP($C$6,Grades!$A:$BZ,77,FALSE)="YES",C59&gt;Thresholds_Rates!$C$14),"-",$D59*Thresholds_Rates!$F$14))))</f>
        <v/>
      </c>
      <c r="I59" s="58" t="str">
        <f ca="1">IF($C59="","",IF($D59=0,0,ROUND(($D59-(Thresholds_Rates!$C$4*12))*Thresholds_Rates!$C$7,0)))</f>
        <v/>
      </c>
      <c r="J59" s="58" t="str">
        <f ca="1">IF(C59="","",(D59*Thresholds_Rates!$C$9))</f>
        <v/>
      </c>
      <c r="K59" s="58" t="str">
        <f ca="1">IF(C59="","",IF(SUMIF(Grades!$A:$A,$C$6,Grades!$BX:$BX)=0,"-",IF(AND(VLOOKUP($C$6,Grades!$A:$BZ,77,FALSE)="YES",C59&gt;Thresholds_Rates!$C$14),"-",$D59*Thresholds_Rates!$F$15)))</f>
        <v/>
      </c>
      <c r="L59" s="50"/>
      <c r="M59" s="58" t="str">
        <f t="shared" ca="1" si="6"/>
        <v/>
      </c>
      <c r="N59" s="58" t="str">
        <f t="shared" ca="1" si="7"/>
        <v/>
      </c>
      <c r="O59" s="58" t="str">
        <f t="shared" ca="1" si="8"/>
        <v/>
      </c>
      <c r="P59" s="58" t="str">
        <f t="shared" ca="1" si="9"/>
        <v/>
      </c>
      <c r="Q59" s="58" t="str">
        <f t="shared" ca="1" si="10"/>
        <v/>
      </c>
      <c r="S59" s="158" t="str">
        <f ca="1">IF(OR($C59="",$D$10="Salary"),"",SUMIF(INDIRECT("'Points Lookup'!"&amp;VLOOKUP($C$6,Grades!$A:$BZ,3,FALSE)&amp;":"&amp;VLOOKUP($C$6,Grades!$A:$BZ,3,FALSE)),$C59,OFFSET(INDIRECT("'Points Lookup'!"&amp;VLOOKUP($C$6,Grades!$A:$BZ,3,FALSE)&amp;":"&amp;VLOOKUP($C$6,Grades!$A:$BZ,3,FALSE)),0,1)))</f>
        <v/>
      </c>
      <c r="T59" s="159" t="str">
        <f ca="1">IF(OR($C59="",$D$10="Salary"),"",$D59-SUMIF(INDIRECT("'Points Lookup'!"&amp;VLOOKUP($C$6,Grades!$A:$BZ,3,FALSE)&amp;":"&amp;VLOOKUP($C$6,Grades!$A:$BZ,3,FALSE)),$C59,OFFSET(INDIRECT("'Points Lookup'!"&amp;VLOOKUP($C$6,Grades!$A:$BZ,3,FALSE)&amp;":"&amp;VLOOKUP($C$6,Grades!$A:$BZ,3,FALSE)),0,2)))</f>
        <v/>
      </c>
      <c r="U59" s="158" t="str">
        <f ca="1">IF(OR($C59="",$D$10="Salary"),"",SUMIF(INDIRECT("'Points Lookup'!"&amp;VLOOKUP($C$6,Grades!$A:$BZ,3,FALSE)&amp;":"&amp;VLOOKUP($C$6,Grades!$A:$BZ,3,FALSE)),$C59,OFFSET(INDIRECT("'Points Lookup'!"&amp;VLOOKUP($C$6,Grades!$A:$BZ,3,FALSE)&amp;":"&amp;VLOOKUP($C$6,Grades!$A:$BZ,3,FALSE)),0,4)))</f>
        <v/>
      </c>
      <c r="V59" s="159" t="str">
        <f t="shared" ca="1" si="11"/>
        <v/>
      </c>
    </row>
    <row r="60" spans="2:22" x14ac:dyDescent="0.25">
      <c r="B60" s="156">
        <v>50</v>
      </c>
      <c r="C60" s="50" t="str">
        <f ca="1">IFERROR(INDEX('Points Lookup'!$A:$A,MATCH($B60,'Points Lookup'!$AR:$AR,0)),"")</f>
        <v/>
      </c>
      <c r="D60" s="58" t="str">
        <f ca="1">IF(C60="","",SUMIF(INDIRECT("'Points Lookup'!"&amp;VLOOKUP($C$6,Grades!A:BZ,3,FALSE)&amp;":"&amp;VLOOKUP($C$6,Grades!A:BZ,3,FALSE)),C60,INDIRECT("'Points Lookup'!"&amp;VLOOKUP($C$6,Grades!A:BZ,4,FALSE)&amp;":"&amp;VLOOKUP($C$6,Grades!A:Z,4,FALSE))))</f>
        <v/>
      </c>
      <c r="E60" s="58"/>
      <c r="F60" s="58" t="str">
        <f ca="1">IF($C60="","",IF(SUMIF(Grades!$A:$A,$C$6,Grades!$BU:$BU)=0,"-",IF(AND(VLOOKUP($C$6,Grades!$A:$BZ,77,FALSE)="YES",C60&lt;Thresholds_Rates!$C$13),"-",$D60*Thresholds_Rates!$F$12)))</f>
        <v/>
      </c>
      <c r="G60" s="58" t="str">
        <f ca="1">IF(C60="","",IF(OR($C$6="Salary Points 3 to 57",$C$6="Salary Points 3 to 57 (post-pay award)"),"-",IF(SUMIF(Grades!$A:$A,$C$6,Grades!$BV:$BV)=0,"-",$D60*Thresholds_Rates!$F$13)))</f>
        <v/>
      </c>
      <c r="H60" s="58" t="str">
        <f ca="1">IF(C60="","",IF($C$6="Apprenticeship","-",IF(SUMIF(Grades!$A:$A,$C$6,Grades!$BW:$BW)=0,"-",IF(AND(VLOOKUP($C$6,Grades!$A:$BZ,77,FALSE)="YES",C60&gt;Thresholds_Rates!$C$14),"-",$D60*Thresholds_Rates!$F$14))))</f>
        <v/>
      </c>
      <c r="I60" s="58" t="str">
        <f ca="1">IF($C60="","",IF($D60=0,0,ROUND(($D60-(Thresholds_Rates!$C$4*12))*Thresholds_Rates!$C$7,0)))</f>
        <v/>
      </c>
      <c r="J60" s="58" t="str">
        <f ca="1">IF(C60="","",(D60*Thresholds_Rates!$C$9))</f>
        <v/>
      </c>
      <c r="K60" s="58" t="str">
        <f ca="1">IF(C60="","",IF(SUMIF(Grades!$A:$A,$C$6,Grades!$BX:$BX)=0,"-",IF(AND(VLOOKUP($C$6,Grades!$A:$BZ,77,FALSE)="YES",C60&gt;Thresholds_Rates!$C$14),"-",$D60*Thresholds_Rates!$F$15)))</f>
        <v/>
      </c>
      <c r="L60" s="50"/>
      <c r="M60" s="58" t="str">
        <f t="shared" ca="1" si="6"/>
        <v/>
      </c>
      <c r="N60" s="58" t="str">
        <f t="shared" ca="1" si="7"/>
        <v/>
      </c>
      <c r="O60" s="58" t="str">
        <f t="shared" ca="1" si="8"/>
        <v/>
      </c>
      <c r="P60" s="58" t="str">
        <f t="shared" ca="1" si="9"/>
        <v/>
      </c>
      <c r="Q60" s="58" t="str">
        <f t="shared" ca="1" si="10"/>
        <v/>
      </c>
      <c r="S60" s="158" t="str">
        <f ca="1">IF(OR($C60="",$D$10="Salary"),"",SUMIF(INDIRECT("'Points Lookup'!"&amp;VLOOKUP($C$6,Grades!$A:$BZ,3,FALSE)&amp;":"&amp;VLOOKUP($C$6,Grades!$A:$BZ,3,FALSE)),$C60,OFFSET(INDIRECT("'Points Lookup'!"&amp;VLOOKUP($C$6,Grades!$A:$BZ,3,FALSE)&amp;":"&amp;VLOOKUP($C$6,Grades!$A:$BZ,3,FALSE)),0,1)))</f>
        <v/>
      </c>
      <c r="T60" s="159" t="str">
        <f ca="1">IF(OR($C60="",$D$10="Salary"),"",$D60-SUMIF(INDIRECT("'Points Lookup'!"&amp;VLOOKUP($C$6,Grades!$A:$BZ,3,FALSE)&amp;":"&amp;VLOOKUP($C$6,Grades!$A:$BZ,3,FALSE)),$C60,OFFSET(INDIRECT("'Points Lookup'!"&amp;VLOOKUP($C$6,Grades!$A:$BZ,3,FALSE)&amp;":"&amp;VLOOKUP($C$6,Grades!$A:$BZ,3,FALSE)),0,2)))</f>
        <v/>
      </c>
      <c r="U60" s="158" t="str">
        <f ca="1">IF(OR($C60="",$D$10="Salary"),"",SUMIF(INDIRECT("'Points Lookup'!"&amp;VLOOKUP($C$6,Grades!$A:$BZ,3,FALSE)&amp;":"&amp;VLOOKUP($C$6,Grades!$A:$BZ,3,FALSE)),$C60,OFFSET(INDIRECT("'Points Lookup'!"&amp;VLOOKUP($C$6,Grades!$A:$BZ,3,FALSE)&amp;":"&amp;VLOOKUP($C$6,Grades!$A:$BZ,3,FALSE)),0,4)))</f>
        <v/>
      </c>
      <c r="V60" s="159" t="str">
        <f t="shared" ca="1" si="11"/>
        <v/>
      </c>
    </row>
    <row r="61" spans="2:22" x14ac:dyDescent="0.25">
      <c r="B61" s="156">
        <v>51</v>
      </c>
      <c r="C61" s="50" t="str">
        <f ca="1">IFERROR(INDEX('Points Lookup'!$A:$A,MATCH($B61,'Points Lookup'!$AR:$AR,0)),"")</f>
        <v/>
      </c>
      <c r="D61" s="58" t="str">
        <f ca="1">IF(C61="","",SUMIF(INDIRECT("'Points Lookup'!"&amp;VLOOKUP($C$6,Grades!A:BZ,3,FALSE)&amp;":"&amp;VLOOKUP($C$6,Grades!A:BZ,3,FALSE)),C61,INDIRECT("'Points Lookup'!"&amp;VLOOKUP($C$6,Grades!A:BZ,4,FALSE)&amp;":"&amp;VLOOKUP($C$6,Grades!A:Z,4,FALSE))))</f>
        <v/>
      </c>
      <c r="E61" s="58"/>
      <c r="F61" s="58" t="str">
        <f ca="1">IF($C61="","",IF(SUMIF(Grades!$A:$A,$C$6,Grades!$BU:$BU)=0,"-",IF(AND(VLOOKUP($C$6,Grades!$A:$BZ,77,FALSE)="YES",C61&lt;Thresholds_Rates!$C$13),"-",$D61*Thresholds_Rates!$F$12)))</f>
        <v/>
      </c>
      <c r="G61" s="58" t="str">
        <f ca="1">IF(C61="","",IF(OR($C$6="Salary Points 3 to 57",$C$6="Salary Points 3 to 57 (post-pay award)"),"-",IF(SUMIF(Grades!$A:$A,$C$6,Grades!$BV:$BV)=0,"-",$D61*Thresholds_Rates!$F$13)))</f>
        <v/>
      </c>
      <c r="H61" s="58" t="str">
        <f ca="1">IF(C61="","",IF($C$6="Apprenticeship","-",IF(SUMIF(Grades!$A:$A,$C$6,Grades!$BW:$BW)=0,"-",IF(AND(VLOOKUP($C$6,Grades!$A:$BZ,77,FALSE)="YES",C61&gt;Thresholds_Rates!$C$14),"-",$D61*Thresholds_Rates!$F$14))))</f>
        <v/>
      </c>
      <c r="I61" s="58" t="str">
        <f ca="1">IF($C61="","",IF($D61=0,0,ROUND(($D61-(Thresholds_Rates!$C$4*12))*Thresholds_Rates!$C$7,0)))</f>
        <v/>
      </c>
      <c r="J61" s="58" t="str">
        <f ca="1">IF(C61="","",(D61*Thresholds_Rates!$C$9))</f>
        <v/>
      </c>
      <c r="K61" s="58" t="str">
        <f ca="1">IF(C61="","",IF(SUMIF(Grades!$A:$A,$C$6,Grades!$BX:$BX)=0,"-",IF(AND(VLOOKUP($C$6,Grades!$A:$BZ,77,FALSE)="YES",C61&gt;Thresholds_Rates!$C$14),"-",$D61*Thresholds_Rates!$F$15)))</f>
        <v/>
      </c>
      <c r="L61" s="50"/>
      <c r="M61" s="58" t="str">
        <f t="shared" ca="1" si="6"/>
        <v/>
      </c>
      <c r="N61" s="58" t="str">
        <f t="shared" ca="1" si="7"/>
        <v/>
      </c>
      <c r="O61" s="58" t="str">
        <f t="shared" ca="1" si="8"/>
        <v/>
      </c>
      <c r="P61" s="58" t="str">
        <f t="shared" ca="1" si="9"/>
        <v/>
      </c>
      <c r="Q61" s="58" t="str">
        <f t="shared" ca="1" si="10"/>
        <v/>
      </c>
      <c r="S61" s="158" t="str">
        <f ca="1">IF(OR($C61="",$D$10="Salary"),"",SUMIF(INDIRECT("'Points Lookup'!"&amp;VLOOKUP($C$6,Grades!$A:$BZ,3,FALSE)&amp;":"&amp;VLOOKUP($C$6,Grades!$A:$BZ,3,FALSE)),$C61,OFFSET(INDIRECT("'Points Lookup'!"&amp;VLOOKUP($C$6,Grades!$A:$BZ,3,FALSE)&amp;":"&amp;VLOOKUP($C$6,Grades!$A:$BZ,3,FALSE)),0,1)))</f>
        <v/>
      </c>
      <c r="T61" s="159" t="str">
        <f ca="1">IF(OR($C61="",$D$10="Salary"),"",$D61-SUMIF(INDIRECT("'Points Lookup'!"&amp;VLOOKUP($C$6,Grades!$A:$BZ,3,FALSE)&amp;":"&amp;VLOOKUP($C$6,Grades!$A:$BZ,3,FALSE)),$C61,OFFSET(INDIRECT("'Points Lookup'!"&amp;VLOOKUP($C$6,Grades!$A:$BZ,3,FALSE)&amp;":"&amp;VLOOKUP($C$6,Grades!$A:$BZ,3,FALSE)),0,2)))</f>
        <v/>
      </c>
      <c r="U61" s="158" t="str">
        <f ca="1">IF(OR($C61="",$D$10="Salary"),"",SUMIF(INDIRECT("'Points Lookup'!"&amp;VLOOKUP($C$6,Grades!$A:$BZ,3,FALSE)&amp;":"&amp;VLOOKUP($C$6,Grades!$A:$BZ,3,FALSE)),$C61,OFFSET(INDIRECT("'Points Lookup'!"&amp;VLOOKUP($C$6,Grades!$A:$BZ,3,FALSE)&amp;":"&amp;VLOOKUP($C$6,Grades!$A:$BZ,3,FALSE)),0,4)))</f>
        <v/>
      </c>
      <c r="V61" s="159" t="str">
        <f t="shared" ca="1" si="11"/>
        <v/>
      </c>
    </row>
    <row r="62" spans="2:22" x14ac:dyDescent="0.25">
      <c r="B62" s="156">
        <v>52</v>
      </c>
      <c r="C62" s="50" t="str">
        <f ca="1">IFERROR(INDEX('Points Lookup'!$A:$A,MATCH($B62,'Points Lookup'!$AR:$AR,0)),"")</f>
        <v/>
      </c>
      <c r="D62" s="58" t="str">
        <f ca="1">IF(C62="","",SUMIF(INDIRECT("'Points Lookup'!"&amp;VLOOKUP($C$6,Grades!A:BZ,3,FALSE)&amp;":"&amp;VLOOKUP($C$6,Grades!A:BZ,3,FALSE)),C62,INDIRECT("'Points Lookup'!"&amp;VLOOKUP($C$6,Grades!A:BZ,4,FALSE)&amp;":"&amp;VLOOKUP($C$6,Grades!A:Z,4,FALSE))))</f>
        <v/>
      </c>
      <c r="E62" s="58"/>
      <c r="F62" s="58" t="str">
        <f ca="1">IF($C62="","",IF(SUMIF(Grades!$A:$A,$C$6,Grades!$BU:$BU)=0,"-",IF(AND(VLOOKUP($C$6,Grades!$A:$BZ,77,FALSE)="YES",C62&lt;Thresholds_Rates!$C$13),"-",$D62*Thresholds_Rates!$F$12)))</f>
        <v/>
      </c>
      <c r="G62" s="58" t="str">
        <f ca="1">IF(C62="","",IF(OR($C$6="Salary Points 3 to 57",$C$6="Salary Points 3 to 57 (post-pay award)"),"-",IF(SUMIF(Grades!$A:$A,$C$6,Grades!$BV:$BV)=0,"-",$D62*Thresholds_Rates!$F$13)))</f>
        <v/>
      </c>
      <c r="H62" s="58" t="str">
        <f ca="1">IF(C62="","",IF($C$6="Apprenticeship","-",IF(SUMIF(Grades!$A:$A,$C$6,Grades!$BW:$BW)=0,"-",IF(AND(VLOOKUP($C$6,Grades!$A:$BZ,77,FALSE)="YES",C62&gt;Thresholds_Rates!$C$14),"-",$D62*Thresholds_Rates!$F$14))))</f>
        <v/>
      </c>
      <c r="I62" s="58" t="str">
        <f ca="1">IF($C62="","",IF($D62=0,0,ROUND(($D62-(Thresholds_Rates!$C$4*12))*Thresholds_Rates!$C$7,0)))</f>
        <v/>
      </c>
      <c r="J62" s="58" t="str">
        <f ca="1">IF(C62="","",(D62*Thresholds_Rates!$C$9))</f>
        <v/>
      </c>
      <c r="K62" s="58" t="str">
        <f ca="1">IF(C62="","",IF(SUMIF(Grades!$A:$A,$C$6,Grades!$BX:$BX)=0,"-",IF(AND(VLOOKUP($C$6,Grades!$A:$BZ,77,FALSE)="YES",C62&gt;Thresholds_Rates!$C$14),"-",$D62*Thresholds_Rates!$F$15)))</f>
        <v/>
      </c>
      <c r="L62" s="50"/>
      <c r="M62" s="58" t="str">
        <f t="shared" ca="1" si="6"/>
        <v/>
      </c>
      <c r="N62" s="58" t="str">
        <f t="shared" ca="1" si="7"/>
        <v/>
      </c>
      <c r="O62" s="58" t="str">
        <f t="shared" ca="1" si="8"/>
        <v/>
      </c>
      <c r="P62" s="58" t="str">
        <f t="shared" ca="1" si="9"/>
        <v/>
      </c>
      <c r="Q62" s="58" t="str">
        <f t="shared" ca="1" si="10"/>
        <v/>
      </c>
      <c r="S62" s="158" t="str">
        <f ca="1">IF(OR($C62="",$D$10="Salary"),"",SUMIF(INDIRECT("'Points Lookup'!"&amp;VLOOKUP($C$6,Grades!$A:$BZ,3,FALSE)&amp;":"&amp;VLOOKUP($C$6,Grades!$A:$BZ,3,FALSE)),$C62,OFFSET(INDIRECT("'Points Lookup'!"&amp;VLOOKUP($C$6,Grades!$A:$BZ,3,FALSE)&amp;":"&amp;VLOOKUP($C$6,Grades!$A:$BZ,3,FALSE)),0,1)))</f>
        <v/>
      </c>
      <c r="T62" s="159" t="str">
        <f ca="1">IF(OR($C62="",$D$10="Salary"),"",$D62-SUMIF(INDIRECT("'Points Lookup'!"&amp;VLOOKUP($C$6,Grades!$A:$BZ,3,FALSE)&amp;":"&amp;VLOOKUP($C$6,Grades!$A:$BZ,3,FALSE)),$C62,OFFSET(INDIRECT("'Points Lookup'!"&amp;VLOOKUP($C$6,Grades!$A:$BZ,3,FALSE)&amp;":"&amp;VLOOKUP($C$6,Grades!$A:$BZ,3,FALSE)),0,2)))</f>
        <v/>
      </c>
      <c r="U62" s="158" t="str">
        <f ca="1">IF(OR($C62="",$D$10="Salary"),"",SUMIF(INDIRECT("'Points Lookup'!"&amp;VLOOKUP($C$6,Grades!$A:$BZ,3,FALSE)&amp;":"&amp;VLOOKUP($C$6,Grades!$A:$BZ,3,FALSE)),$C62,OFFSET(INDIRECT("'Points Lookup'!"&amp;VLOOKUP($C$6,Grades!$A:$BZ,3,FALSE)&amp;":"&amp;VLOOKUP($C$6,Grades!$A:$BZ,3,FALSE)),0,4)))</f>
        <v/>
      </c>
      <c r="V62" s="159" t="str">
        <f t="shared" ca="1" si="11"/>
        <v/>
      </c>
    </row>
    <row r="63" spans="2:22" x14ac:dyDescent="0.25">
      <c r="B63" s="156">
        <v>53</v>
      </c>
      <c r="C63" s="50" t="str">
        <f ca="1">IFERROR(INDEX('Points Lookup'!$A:$A,MATCH($B63,'Points Lookup'!$AR:$AR,0)),"")</f>
        <v/>
      </c>
      <c r="D63" s="58" t="str">
        <f ca="1">IF(C63="","",SUMIF(INDIRECT("'Points Lookup'!"&amp;VLOOKUP($C$6,Grades!A:BZ,3,FALSE)&amp;":"&amp;VLOOKUP($C$6,Grades!A:BZ,3,FALSE)),C63,INDIRECT("'Points Lookup'!"&amp;VLOOKUP($C$6,Grades!A:BZ,4,FALSE)&amp;":"&amp;VLOOKUP($C$6,Grades!A:Z,4,FALSE))))</f>
        <v/>
      </c>
      <c r="E63" s="58"/>
      <c r="F63" s="58" t="str">
        <f ca="1">IF($C63="","",IF(SUMIF(Grades!$A:$A,$C$6,Grades!$BU:$BU)=0,"-",IF(AND(VLOOKUP($C$6,Grades!$A:$BZ,77,FALSE)="YES",C63&lt;Thresholds_Rates!$C$13),"-",$D63*Thresholds_Rates!$F$12)))</f>
        <v/>
      </c>
      <c r="G63" s="58" t="str">
        <f ca="1">IF(C63="","",IF(OR($C$6="Salary Points 3 to 57",$C$6="Salary Points 3 to 57 (post-pay award)"),"-",IF(SUMIF(Grades!$A:$A,$C$6,Grades!$BV:$BV)=0,"-",$D63*Thresholds_Rates!$F$13)))</f>
        <v/>
      </c>
      <c r="H63" s="58" t="str">
        <f ca="1">IF(C63="","",IF($C$6="Apprenticeship","-",IF(SUMIF(Grades!$A:$A,$C$6,Grades!$BW:$BW)=0,"-",IF(AND(VLOOKUP($C$6,Grades!$A:$BZ,77,FALSE)="YES",C63&gt;Thresholds_Rates!$C$14),"-",$D63*Thresholds_Rates!$F$14))))</f>
        <v/>
      </c>
      <c r="I63" s="58" t="str">
        <f ca="1">IF($C63="","",IF($D63=0,0,ROUND(($D63-(Thresholds_Rates!$C$4*12))*Thresholds_Rates!$C$7,0)))</f>
        <v/>
      </c>
      <c r="J63" s="58" t="str">
        <f ca="1">IF(C63="","",(D63*Thresholds_Rates!$C$9))</f>
        <v/>
      </c>
      <c r="K63" s="58" t="str">
        <f ca="1">IF(C63="","",IF(SUMIF(Grades!$A:$A,$C$6,Grades!$BX:$BX)=0,"-",IF(AND(VLOOKUP($C$6,Grades!$A:$BZ,77,FALSE)="YES",C63&gt;Thresholds_Rates!$C$14),"-",$D63*Thresholds_Rates!$F$15)))</f>
        <v/>
      </c>
      <c r="L63" s="50"/>
      <c r="M63" s="58" t="str">
        <f t="shared" ca="1" si="6"/>
        <v/>
      </c>
      <c r="N63" s="58" t="str">
        <f t="shared" ca="1" si="7"/>
        <v/>
      </c>
      <c r="O63" s="58" t="str">
        <f t="shared" ca="1" si="8"/>
        <v/>
      </c>
      <c r="P63" s="58" t="str">
        <f t="shared" ca="1" si="9"/>
        <v/>
      </c>
      <c r="Q63" s="58" t="str">
        <f t="shared" ca="1" si="10"/>
        <v/>
      </c>
      <c r="S63" s="158" t="str">
        <f ca="1">IF(OR($C63="",$D$10="Salary"),"",SUMIF(INDIRECT("'Points Lookup'!"&amp;VLOOKUP($C$6,Grades!$A:$BZ,3,FALSE)&amp;":"&amp;VLOOKUP($C$6,Grades!$A:$BZ,3,FALSE)),$C63,OFFSET(INDIRECT("'Points Lookup'!"&amp;VLOOKUP($C$6,Grades!$A:$BZ,3,FALSE)&amp;":"&amp;VLOOKUP($C$6,Grades!$A:$BZ,3,FALSE)),0,1)))</f>
        <v/>
      </c>
      <c r="T63" s="159" t="str">
        <f ca="1">IF(OR($C63="",$D$10="Salary"),"",$D63-SUMIF(INDIRECT("'Points Lookup'!"&amp;VLOOKUP($C$6,Grades!$A:$BZ,3,FALSE)&amp;":"&amp;VLOOKUP($C$6,Grades!$A:$BZ,3,FALSE)),$C63,OFFSET(INDIRECT("'Points Lookup'!"&amp;VLOOKUP($C$6,Grades!$A:$BZ,3,FALSE)&amp;":"&amp;VLOOKUP($C$6,Grades!$A:$BZ,3,FALSE)),0,2)))</f>
        <v/>
      </c>
      <c r="U63" s="158" t="str">
        <f ca="1">IF(OR($C63="",$D$10="Salary"),"",SUMIF(INDIRECT("'Points Lookup'!"&amp;VLOOKUP($C$6,Grades!$A:$BZ,3,FALSE)&amp;":"&amp;VLOOKUP($C$6,Grades!$A:$BZ,3,FALSE)),$C63,OFFSET(INDIRECT("'Points Lookup'!"&amp;VLOOKUP($C$6,Grades!$A:$BZ,3,FALSE)&amp;":"&amp;VLOOKUP($C$6,Grades!$A:$BZ,3,FALSE)),0,4)))</f>
        <v/>
      </c>
      <c r="V63" s="159" t="str">
        <f t="shared" ca="1" si="11"/>
        <v/>
      </c>
    </row>
    <row r="64" spans="2:22" x14ac:dyDescent="0.25">
      <c r="B64" s="156">
        <v>54</v>
      </c>
      <c r="C64" s="50" t="str">
        <f ca="1">IFERROR(INDEX('Points Lookup'!$A:$A,MATCH($B64,'Points Lookup'!$AR:$AR,0)),"")</f>
        <v/>
      </c>
      <c r="D64" s="58" t="str">
        <f ca="1">IF(C64="","",SUMIF(INDIRECT("'Points Lookup'!"&amp;VLOOKUP($C$6,Grades!A:BZ,3,FALSE)&amp;":"&amp;VLOOKUP($C$6,Grades!A:BZ,3,FALSE)),C64,INDIRECT("'Points Lookup'!"&amp;VLOOKUP($C$6,Grades!A:BZ,4,FALSE)&amp;":"&amp;VLOOKUP($C$6,Grades!A:Z,4,FALSE))))</f>
        <v/>
      </c>
      <c r="E64" s="58"/>
      <c r="F64" s="58" t="str">
        <f ca="1">IF($C64="","",IF(SUMIF(Grades!$A:$A,$C$6,Grades!$BU:$BU)=0,"-",IF(AND(VLOOKUP($C$6,Grades!$A:$BZ,77,FALSE)="YES",C64&lt;Thresholds_Rates!$C$13),"-",$D64*Thresholds_Rates!$F$12)))</f>
        <v/>
      </c>
      <c r="G64" s="58" t="str">
        <f ca="1">IF(C64="","",IF(OR($C$6="Salary Points 3 to 57",$C$6="Salary Points 3 to 57 (post-pay award)"),"-",IF(SUMIF(Grades!$A:$A,$C$6,Grades!$BV:$BV)=0,"-",$D64*Thresholds_Rates!$F$13)))</f>
        <v/>
      </c>
      <c r="H64" s="58" t="str">
        <f ca="1">IF(C64="","",IF($C$6="Apprenticeship","-",IF(SUMIF(Grades!$A:$A,$C$6,Grades!$BW:$BW)=0,"-",IF(AND(VLOOKUP($C$6,Grades!$A:$BZ,77,FALSE)="YES",C64&gt;Thresholds_Rates!$C$14),"-",$D64*Thresholds_Rates!$F$14))))</f>
        <v/>
      </c>
      <c r="I64" s="58" t="str">
        <f ca="1">IF($C64="","",IF($D64=0,0,ROUND(($D64-(Thresholds_Rates!$C$4*12))*Thresholds_Rates!$C$7,0)))</f>
        <v/>
      </c>
      <c r="J64" s="58" t="str">
        <f ca="1">IF(C64="","",(D64*Thresholds_Rates!$C$9))</f>
        <v/>
      </c>
      <c r="K64" s="58" t="str">
        <f ca="1">IF(C64="","",IF(SUMIF(Grades!$A:$A,$C$6,Grades!$BX:$BX)=0,"-",IF(AND(VLOOKUP($C$6,Grades!$A:$BZ,77,FALSE)="YES",C64&gt;Thresholds_Rates!$C$14),"-",$D64*Thresholds_Rates!$F$15)))</f>
        <v/>
      </c>
      <c r="L64" s="50"/>
      <c r="M64" s="58" t="str">
        <f t="shared" ca="1" si="6"/>
        <v/>
      </c>
      <c r="N64" s="58" t="str">
        <f t="shared" ca="1" si="7"/>
        <v/>
      </c>
      <c r="O64" s="58" t="str">
        <f t="shared" ca="1" si="8"/>
        <v/>
      </c>
      <c r="P64" s="58" t="str">
        <f t="shared" ca="1" si="9"/>
        <v/>
      </c>
      <c r="Q64" s="58" t="str">
        <f t="shared" ca="1" si="10"/>
        <v/>
      </c>
      <c r="S64" s="158" t="str">
        <f ca="1">IF(OR($C64="",$D$10="Salary"),"",SUMIF(INDIRECT("'Points Lookup'!"&amp;VLOOKUP($C$6,Grades!$A:$BZ,3,FALSE)&amp;":"&amp;VLOOKUP($C$6,Grades!$A:$BZ,3,FALSE)),$C64,OFFSET(INDIRECT("'Points Lookup'!"&amp;VLOOKUP($C$6,Grades!$A:$BZ,3,FALSE)&amp;":"&amp;VLOOKUP($C$6,Grades!$A:$BZ,3,FALSE)),0,1)))</f>
        <v/>
      </c>
      <c r="T64" s="159" t="str">
        <f ca="1">IF(OR($C64="",$D$10="Salary"),"",$D64-SUMIF(INDIRECT("'Points Lookup'!"&amp;VLOOKUP($C$6,Grades!$A:$BZ,3,FALSE)&amp;":"&amp;VLOOKUP($C$6,Grades!$A:$BZ,3,FALSE)),$C64,OFFSET(INDIRECT("'Points Lookup'!"&amp;VLOOKUP($C$6,Grades!$A:$BZ,3,FALSE)&amp;":"&amp;VLOOKUP($C$6,Grades!$A:$BZ,3,FALSE)),0,2)))</f>
        <v/>
      </c>
      <c r="U64" s="158" t="str">
        <f ca="1">IF(OR($C64="",$D$10="Salary"),"",SUMIF(INDIRECT("'Points Lookup'!"&amp;VLOOKUP($C$6,Grades!$A:$BZ,3,FALSE)&amp;":"&amp;VLOOKUP($C$6,Grades!$A:$BZ,3,FALSE)),$C64,OFFSET(INDIRECT("'Points Lookup'!"&amp;VLOOKUP($C$6,Grades!$A:$BZ,3,FALSE)&amp;":"&amp;VLOOKUP($C$6,Grades!$A:$BZ,3,FALSE)),0,4)))</f>
        <v/>
      </c>
      <c r="V64" s="159" t="str">
        <f t="shared" ca="1" si="11"/>
        <v/>
      </c>
    </row>
    <row r="65" spans="2:22" x14ac:dyDescent="0.25">
      <c r="B65" s="156">
        <v>55</v>
      </c>
      <c r="C65" s="50" t="str">
        <f ca="1">IFERROR(INDEX('Points Lookup'!$A:$A,MATCH($B65,'Points Lookup'!$AR:$AR,0)),"")</f>
        <v/>
      </c>
      <c r="D65" s="58" t="str">
        <f ca="1">IF(C65="","",SUMIF(INDIRECT("'Points Lookup'!"&amp;VLOOKUP($C$6,Grades!A:BZ,3,FALSE)&amp;":"&amp;VLOOKUP($C$6,Grades!A:BZ,3,FALSE)),C65,INDIRECT("'Points Lookup'!"&amp;VLOOKUP($C$6,Grades!A:BZ,4,FALSE)&amp;":"&amp;VLOOKUP($C$6,Grades!A:Z,4,FALSE))))</f>
        <v/>
      </c>
      <c r="E65" s="58"/>
      <c r="F65" s="58" t="str">
        <f ca="1">IF($C65="","",IF(SUMIF(Grades!$A:$A,$C$6,Grades!$BU:$BU)=0,"-",IF(AND(VLOOKUP($C$6,Grades!$A:$BZ,77,FALSE)="YES",C65&lt;Thresholds_Rates!$C$13),"-",$D65*Thresholds_Rates!$F$12)))</f>
        <v/>
      </c>
      <c r="G65" s="58" t="str">
        <f ca="1">IF(C65="","",IF(OR($C$6="Salary Points 3 to 57",$C$6="Salary Points 3 to 57 (post-pay award)"),"-",IF(SUMIF(Grades!$A:$A,$C$6,Grades!$BV:$BV)=0,"-",$D65*Thresholds_Rates!$F$13)))</f>
        <v/>
      </c>
      <c r="H65" s="58" t="str">
        <f ca="1">IF(C65="","",IF($C$6="Apprenticeship","-",IF(SUMIF(Grades!$A:$A,$C$6,Grades!$BW:$BW)=0,"-",IF(AND(VLOOKUP($C$6,Grades!$A:$BZ,77,FALSE)="YES",C65&gt;Thresholds_Rates!$C$14),"-",$D65*Thresholds_Rates!$F$14))))</f>
        <v/>
      </c>
      <c r="I65" s="58" t="str">
        <f ca="1">IF($C65="","",IF($D65=0,0,ROUND(($D65-(Thresholds_Rates!$C$4*12))*Thresholds_Rates!$C$7,0)))</f>
        <v/>
      </c>
      <c r="J65" s="58" t="str">
        <f ca="1">IF(C65="","",(D65*Thresholds_Rates!$C$9))</f>
        <v/>
      </c>
      <c r="K65" s="58" t="str">
        <f ca="1">IF(C65="","",IF(SUMIF(Grades!$A:$A,$C$6,Grades!$BX:$BX)=0,"-",IF(AND(VLOOKUP($C$6,Grades!$A:$BZ,77,FALSE)="YES",C65&gt;Thresholds_Rates!$C$14),"-",$D65*Thresholds_Rates!$F$15)))</f>
        <v/>
      </c>
      <c r="L65" s="50"/>
      <c r="M65" s="58" t="str">
        <f t="shared" ca="1" si="6"/>
        <v/>
      </c>
      <c r="N65" s="58" t="str">
        <f t="shared" ca="1" si="7"/>
        <v/>
      </c>
      <c r="O65" s="58" t="str">
        <f t="shared" ca="1" si="8"/>
        <v/>
      </c>
      <c r="P65" s="58" t="str">
        <f t="shared" ca="1" si="9"/>
        <v/>
      </c>
      <c r="Q65" s="58" t="str">
        <f t="shared" ca="1" si="10"/>
        <v/>
      </c>
      <c r="S65" s="158" t="str">
        <f ca="1">IF(OR($C65="",$D$10="Salary"),"",SUMIF(INDIRECT("'Points Lookup'!"&amp;VLOOKUP($C$6,Grades!$A:$BZ,3,FALSE)&amp;":"&amp;VLOOKUP($C$6,Grades!$A:$BZ,3,FALSE)),$C65,OFFSET(INDIRECT("'Points Lookup'!"&amp;VLOOKUP($C$6,Grades!$A:$BZ,3,FALSE)&amp;":"&amp;VLOOKUP($C$6,Grades!$A:$BZ,3,FALSE)),0,1)))</f>
        <v/>
      </c>
      <c r="T65" s="159" t="str">
        <f ca="1">IF(OR($C65="",$D$10="Salary"),"",$D65-SUMIF(INDIRECT("'Points Lookup'!"&amp;VLOOKUP($C$6,Grades!$A:$BZ,3,FALSE)&amp;":"&amp;VLOOKUP($C$6,Grades!$A:$BZ,3,FALSE)),$C65,OFFSET(INDIRECT("'Points Lookup'!"&amp;VLOOKUP($C$6,Grades!$A:$BZ,3,FALSE)&amp;":"&amp;VLOOKUP($C$6,Grades!$A:$BZ,3,FALSE)),0,2)))</f>
        <v/>
      </c>
      <c r="U65" s="158" t="str">
        <f ca="1">IF(OR($C65="",$D$10="Salary"),"",SUMIF(INDIRECT("'Points Lookup'!"&amp;VLOOKUP($C$6,Grades!$A:$BZ,3,FALSE)&amp;":"&amp;VLOOKUP($C$6,Grades!$A:$BZ,3,FALSE)),$C65,OFFSET(INDIRECT("'Points Lookup'!"&amp;VLOOKUP($C$6,Grades!$A:$BZ,3,FALSE)&amp;":"&amp;VLOOKUP($C$6,Grades!$A:$BZ,3,FALSE)),0,4)))</f>
        <v/>
      </c>
      <c r="V65" s="159" t="str">
        <f t="shared" ca="1" si="11"/>
        <v/>
      </c>
    </row>
    <row r="66" spans="2:22" x14ac:dyDescent="0.25">
      <c r="B66" s="156">
        <v>56</v>
      </c>
      <c r="C66" s="50" t="str">
        <f ca="1">IFERROR(INDEX('Points Lookup'!$A:$A,MATCH($B66,'Points Lookup'!$AR:$AR,0)),"")</f>
        <v/>
      </c>
      <c r="D66" s="58" t="str">
        <f ca="1">IF(C66="","",SUMIF(INDIRECT("'Points Lookup'!"&amp;VLOOKUP($C$6,Grades!A:BZ,3,FALSE)&amp;":"&amp;VLOOKUP($C$6,Grades!A:BZ,3,FALSE)),C66,INDIRECT("'Points Lookup'!"&amp;VLOOKUP($C$6,Grades!A:BZ,4,FALSE)&amp;":"&amp;VLOOKUP($C$6,Grades!A:Z,4,FALSE))))</f>
        <v/>
      </c>
      <c r="E66" s="58"/>
      <c r="F66" s="58" t="str">
        <f ca="1">IF($C66="","",IF(SUMIF(Grades!$A:$A,$C$6,Grades!$BU:$BU)=0,"-",IF(AND(VLOOKUP($C$6,Grades!$A:$BZ,77,FALSE)="YES",C66&lt;Thresholds_Rates!$C$13),"-",$D66*Thresholds_Rates!$F$12)))</f>
        <v/>
      </c>
      <c r="G66" s="58" t="str">
        <f ca="1">IF(C66="","",IF(OR($C$6="Salary Points 3 to 57",$C$6="Salary Points 3 to 57 (post-pay award)"),"-",IF(SUMIF(Grades!$A:$A,$C$6,Grades!$BV:$BV)=0,"-",$D66*Thresholds_Rates!$F$13)))</f>
        <v/>
      </c>
      <c r="H66" s="58" t="str">
        <f ca="1">IF(C66="","",IF($C$6="Apprenticeship","-",IF(SUMIF(Grades!$A:$A,$C$6,Grades!$BW:$BW)=0,"-",IF(AND(VLOOKUP($C$6,Grades!$A:$BZ,77,FALSE)="YES",C66&gt;Thresholds_Rates!$C$14),"-",$D66*Thresholds_Rates!$F$14))))</f>
        <v/>
      </c>
      <c r="I66" s="58" t="str">
        <f ca="1">IF($C66="","",IF($D66=0,0,ROUND(($D66-(Thresholds_Rates!$C$4*12))*Thresholds_Rates!$C$7,0)))</f>
        <v/>
      </c>
      <c r="J66" s="58" t="str">
        <f ca="1">IF(C66="","",(D66*Thresholds_Rates!$C$9))</f>
        <v/>
      </c>
      <c r="K66" s="58" t="str">
        <f ca="1">IF(C66="","",IF(SUMIF(Grades!$A:$A,$C$6,Grades!$BX:$BX)=0,"-",IF(AND(VLOOKUP($C$6,Grades!$A:$BZ,77,FALSE)="YES",C66&gt;Thresholds_Rates!$C$14),"-",$D66*Thresholds_Rates!$F$15)))</f>
        <v/>
      </c>
      <c r="L66" s="50"/>
      <c r="M66" s="58" t="str">
        <f t="shared" ca="1" si="6"/>
        <v/>
      </c>
      <c r="N66" s="58" t="str">
        <f t="shared" ca="1" si="7"/>
        <v/>
      </c>
      <c r="O66" s="58" t="str">
        <f t="shared" ca="1" si="8"/>
        <v/>
      </c>
      <c r="P66" s="58" t="str">
        <f t="shared" ca="1" si="9"/>
        <v/>
      </c>
      <c r="Q66" s="58" t="str">
        <f t="shared" ca="1" si="10"/>
        <v/>
      </c>
      <c r="S66" s="158" t="str">
        <f ca="1">IF(OR($C66="",$D$10="Salary"),"",SUMIF(INDIRECT("'Points Lookup'!"&amp;VLOOKUP($C$6,Grades!$A:$BZ,3,FALSE)&amp;":"&amp;VLOOKUP($C$6,Grades!$A:$BZ,3,FALSE)),$C66,OFFSET(INDIRECT("'Points Lookup'!"&amp;VLOOKUP($C$6,Grades!$A:$BZ,3,FALSE)&amp;":"&amp;VLOOKUP($C$6,Grades!$A:$BZ,3,FALSE)),0,1)))</f>
        <v/>
      </c>
      <c r="T66" s="159" t="str">
        <f ca="1">IF(OR($C66="",$D$10="Salary"),"",$D66-SUMIF(INDIRECT("'Points Lookup'!"&amp;VLOOKUP($C$6,Grades!$A:$BZ,3,FALSE)&amp;":"&amp;VLOOKUP($C$6,Grades!$A:$BZ,3,FALSE)),$C66,OFFSET(INDIRECT("'Points Lookup'!"&amp;VLOOKUP($C$6,Grades!$A:$BZ,3,FALSE)&amp;":"&amp;VLOOKUP($C$6,Grades!$A:$BZ,3,FALSE)),0,2)))</f>
        <v/>
      </c>
      <c r="U66" s="158" t="str">
        <f ca="1">IF(OR($C66="",$D$10="Salary"),"",SUMIF(INDIRECT("'Points Lookup'!"&amp;VLOOKUP($C$6,Grades!$A:$BZ,3,FALSE)&amp;":"&amp;VLOOKUP($C$6,Grades!$A:$BZ,3,FALSE)),$C66,OFFSET(INDIRECT("'Points Lookup'!"&amp;VLOOKUP($C$6,Grades!$A:$BZ,3,FALSE)&amp;":"&amp;VLOOKUP($C$6,Grades!$A:$BZ,3,FALSE)),0,4)))</f>
        <v/>
      </c>
      <c r="V66" s="159" t="str">
        <f t="shared" ca="1" si="11"/>
        <v/>
      </c>
    </row>
    <row r="67" spans="2:22" x14ac:dyDescent="0.25">
      <c r="B67" s="156">
        <v>57</v>
      </c>
      <c r="C67" s="50" t="str">
        <f ca="1">IFERROR(INDEX('Points Lookup'!$A:$A,MATCH($B67,'Points Lookup'!$AR:$AR,0)),"")</f>
        <v/>
      </c>
      <c r="D67" s="58" t="str">
        <f ca="1">IF(C67="","",SUMIF(INDIRECT("'Points Lookup'!"&amp;VLOOKUP($C$6,Grades!A:BZ,3,FALSE)&amp;":"&amp;VLOOKUP($C$6,Grades!A:BZ,3,FALSE)),C67,INDIRECT("'Points Lookup'!"&amp;VLOOKUP($C$6,Grades!A:BZ,4,FALSE)&amp;":"&amp;VLOOKUP($C$6,Grades!A:Z,4,FALSE))))</f>
        <v/>
      </c>
      <c r="E67" s="58"/>
      <c r="F67" s="58" t="str">
        <f ca="1">IF($C67="","",IF(SUMIF(Grades!$A:$A,$C$6,Grades!$BU:$BU)=0,"-",IF(AND(VLOOKUP($C$6,Grades!$A:$BZ,77,FALSE)="YES",C67&lt;Thresholds_Rates!$C$13),"-",$D67*Thresholds_Rates!$F$12)))</f>
        <v/>
      </c>
      <c r="G67" s="58" t="str">
        <f ca="1">IF(C67="","",IF(OR($C$6="Salary Points 3 to 57",$C$6="Salary Points 3 to 57 (post-pay award)"),"-",IF(SUMIF(Grades!$A:$A,$C$6,Grades!$BV:$BV)=0,"-",$D67*Thresholds_Rates!$F$13)))</f>
        <v/>
      </c>
      <c r="H67" s="58" t="str">
        <f ca="1">IF(C67="","",IF($C$6="Apprenticeship","-",IF(SUMIF(Grades!$A:$A,$C$6,Grades!$BW:$BW)=0,"-",IF(AND(VLOOKUP($C$6,Grades!$A:$BZ,77,FALSE)="YES",C67&gt;Thresholds_Rates!$C$14),"-",$D67*Thresholds_Rates!$F$14))))</f>
        <v/>
      </c>
      <c r="I67" s="58" t="str">
        <f ca="1">IF($C67="","",IF($D67=0,0,ROUND(($D67-(Thresholds_Rates!$C$4*12))*Thresholds_Rates!$C$7,0)))</f>
        <v/>
      </c>
      <c r="J67" s="58" t="str">
        <f ca="1">IF(C67="","",(D67*Thresholds_Rates!$C$9))</f>
        <v/>
      </c>
      <c r="K67" s="58" t="str">
        <f ca="1">IF(C67="","",IF(SUMIF(Grades!$A:$A,$C$6,Grades!$BX:$BX)=0,"-",IF(AND(VLOOKUP($C$6,Grades!$A:$BZ,77,FALSE)="YES",C67&gt;Thresholds_Rates!$C$14),"-",$D67*Thresholds_Rates!$F$15)))</f>
        <v/>
      </c>
      <c r="L67" s="50"/>
      <c r="M67" s="58" t="str">
        <f t="shared" ca="1" si="6"/>
        <v/>
      </c>
      <c r="N67" s="58" t="str">
        <f t="shared" ca="1" si="7"/>
        <v/>
      </c>
      <c r="O67" s="58" t="str">
        <f t="shared" ca="1" si="8"/>
        <v/>
      </c>
      <c r="P67" s="58" t="str">
        <f t="shared" ca="1" si="9"/>
        <v/>
      </c>
      <c r="Q67" s="58" t="str">
        <f t="shared" ca="1" si="10"/>
        <v/>
      </c>
      <c r="S67" s="158" t="str">
        <f ca="1">IF(OR($C67="",$D$10="Salary"),"",SUMIF(INDIRECT("'Points Lookup'!"&amp;VLOOKUP($C$6,Grades!$A:$BZ,3,FALSE)&amp;":"&amp;VLOOKUP($C$6,Grades!$A:$BZ,3,FALSE)),$C67,OFFSET(INDIRECT("'Points Lookup'!"&amp;VLOOKUP($C$6,Grades!$A:$BZ,3,FALSE)&amp;":"&amp;VLOOKUP($C$6,Grades!$A:$BZ,3,FALSE)),0,1)))</f>
        <v/>
      </c>
      <c r="T67" s="159" t="str">
        <f ca="1">IF(OR($C67="",$D$10="Salary"),"",$D67-SUMIF(INDIRECT("'Points Lookup'!"&amp;VLOOKUP($C$6,Grades!$A:$BZ,3,FALSE)&amp;":"&amp;VLOOKUP($C$6,Grades!$A:$BZ,3,FALSE)),$C67,OFFSET(INDIRECT("'Points Lookup'!"&amp;VLOOKUP($C$6,Grades!$A:$BZ,3,FALSE)&amp;":"&amp;VLOOKUP($C$6,Grades!$A:$BZ,3,FALSE)),0,2)))</f>
        <v/>
      </c>
      <c r="U67" s="158" t="str">
        <f ca="1">IF(OR($C67="",$D$10="Salary"),"",SUMIF(INDIRECT("'Points Lookup'!"&amp;VLOOKUP($C$6,Grades!$A:$BZ,3,FALSE)&amp;":"&amp;VLOOKUP($C$6,Grades!$A:$BZ,3,FALSE)),$C67,OFFSET(INDIRECT("'Points Lookup'!"&amp;VLOOKUP($C$6,Grades!$A:$BZ,3,FALSE)&amp;":"&amp;VLOOKUP($C$6,Grades!$A:$BZ,3,FALSE)),0,4)))</f>
        <v/>
      </c>
      <c r="V67" s="159" t="str">
        <f t="shared" ca="1" si="11"/>
        <v/>
      </c>
    </row>
    <row r="68" spans="2:22" x14ac:dyDescent="0.25">
      <c r="B68" s="156"/>
      <c r="C68" s="50"/>
      <c r="D68" s="58"/>
      <c r="E68" s="58"/>
      <c r="F68" s="58"/>
      <c r="G68" s="58"/>
      <c r="H68" s="58"/>
      <c r="I68" s="58"/>
      <c r="J68" s="58"/>
      <c r="K68" s="58"/>
      <c r="L68" s="50"/>
      <c r="M68" s="58"/>
      <c r="N68" s="58"/>
      <c r="O68" s="58"/>
      <c r="P68" s="58"/>
      <c r="Q68" s="58"/>
      <c r="S68" s="158"/>
      <c r="T68" s="159"/>
      <c r="U68" s="158"/>
      <c r="V68" s="159"/>
    </row>
    <row r="69" spans="2:22" x14ac:dyDescent="0.25">
      <c r="B69" s="156"/>
      <c r="C69" s="50"/>
      <c r="D69" s="58"/>
      <c r="E69" s="58"/>
      <c r="F69" s="58"/>
      <c r="G69" s="58"/>
      <c r="H69" s="58"/>
      <c r="I69" s="58"/>
      <c r="J69" s="58"/>
      <c r="K69" s="58"/>
      <c r="L69" s="50"/>
      <c r="M69" s="58"/>
      <c r="N69" s="58"/>
      <c r="O69" s="58"/>
      <c r="P69" s="58"/>
      <c r="Q69" s="58"/>
      <c r="S69" s="158"/>
      <c r="T69" s="159"/>
      <c r="U69" s="158"/>
      <c r="V69" s="159"/>
    </row>
    <row r="70" spans="2:22" x14ac:dyDescent="0.25">
      <c r="B70" s="156"/>
      <c r="C70" s="50"/>
      <c r="D70" s="58"/>
      <c r="E70" s="58"/>
      <c r="F70" s="58"/>
      <c r="G70" s="58"/>
      <c r="H70" s="58"/>
      <c r="I70" s="58"/>
      <c r="J70" s="58"/>
      <c r="K70" s="58"/>
      <c r="L70" s="50"/>
      <c r="M70" s="58"/>
      <c r="N70" s="58"/>
      <c r="O70" s="58"/>
      <c r="P70" s="58"/>
      <c r="Q70" s="58"/>
      <c r="S70" s="158"/>
      <c r="T70" s="159"/>
      <c r="U70" s="158"/>
      <c r="V70" s="159"/>
    </row>
    <row r="71" spans="2:22" x14ac:dyDescent="0.25">
      <c r="B71" s="156"/>
      <c r="C71" s="50"/>
      <c r="D71" s="58"/>
      <c r="E71" s="58"/>
      <c r="F71" s="58"/>
      <c r="G71" s="58"/>
      <c r="H71" s="58"/>
      <c r="I71" s="58"/>
      <c r="J71" s="58"/>
      <c r="K71" s="58"/>
      <c r="L71" s="50"/>
      <c r="M71" s="58"/>
      <c r="N71" s="58"/>
      <c r="O71" s="58"/>
      <c r="P71" s="58"/>
      <c r="Q71" s="58"/>
      <c r="S71" s="158"/>
      <c r="T71" s="159"/>
      <c r="U71" s="158"/>
      <c r="V71" s="159"/>
    </row>
    <row r="72" spans="2:22" x14ac:dyDescent="0.25">
      <c r="B72" s="156"/>
      <c r="C72" s="50"/>
      <c r="D72" s="58"/>
      <c r="E72" s="58"/>
      <c r="F72" s="58"/>
      <c r="G72" s="58"/>
      <c r="H72" s="58"/>
      <c r="I72" s="58"/>
      <c r="J72" s="58"/>
      <c r="K72" s="58"/>
      <c r="L72" s="50"/>
      <c r="M72" s="58"/>
      <c r="N72" s="58"/>
      <c r="O72" s="58"/>
      <c r="P72" s="58"/>
      <c r="Q72" s="58"/>
      <c r="S72" s="158"/>
      <c r="T72" s="159"/>
      <c r="U72" s="158"/>
      <c r="V72" s="159"/>
    </row>
    <row r="73" spans="2:22" x14ac:dyDescent="0.25">
      <c r="B73" s="156"/>
      <c r="C73" s="50"/>
      <c r="D73" s="58"/>
      <c r="E73" s="58"/>
      <c r="F73" s="58"/>
      <c r="G73" s="58"/>
      <c r="H73" s="58"/>
      <c r="I73" s="58"/>
      <c r="J73" s="58"/>
      <c r="K73" s="58"/>
      <c r="L73" s="50"/>
      <c r="M73" s="58"/>
      <c r="N73" s="58"/>
      <c r="O73" s="58"/>
      <c r="P73" s="58"/>
      <c r="Q73" s="58"/>
      <c r="S73" s="158"/>
      <c r="T73" s="159"/>
      <c r="U73" s="158"/>
      <c r="V73" s="159"/>
    </row>
    <row r="74" spans="2:22" x14ac:dyDescent="0.25">
      <c r="B74" s="156"/>
      <c r="C74" s="50"/>
      <c r="D74" s="58"/>
      <c r="E74" s="58"/>
      <c r="F74" s="58"/>
      <c r="G74" s="58"/>
      <c r="H74" s="58"/>
      <c r="I74" s="58"/>
      <c r="J74" s="58"/>
      <c r="K74" s="58"/>
      <c r="L74" s="50"/>
      <c r="M74" s="58"/>
      <c r="N74" s="58"/>
      <c r="O74" s="58"/>
      <c r="P74" s="58"/>
      <c r="Q74" s="58"/>
      <c r="S74" s="158"/>
      <c r="T74" s="159"/>
      <c r="U74" s="158"/>
      <c r="V74" s="159"/>
    </row>
    <row r="75" spans="2:22" x14ac:dyDescent="0.25">
      <c r="B75" s="156"/>
      <c r="C75" s="50"/>
      <c r="D75" s="58"/>
      <c r="E75" s="58"/>
      <c r="F75" s="58"/>
      <c r="G75" s="58"/>
      <c r="H75" s="58"/>
      <c r="I75" s="58"/>
      <c r="J75" s="58"/>
      <c r="K75" s="58"/>
      <c r="L75" s="50"/>
      <c r="M75" s="58"/>
      <c r="N75" s="58"/>
      <c r="O75" s="58"/>
      <c r="P75" s="58"/>
      <c r="Q75" s="58"/>
      <c r="S75" s="158"/>
      <c r="T75" s="159"/>
      <c r="U75" s="158"/>
      <c r="V75" s="159"/>
    </row>
    <row r="76" spans="2:22" x14ac:dyDescent="0.25">
      <c r="B76" s="156"/>
      <c r="C76" s="50"/>
      <c r="D76" s="58"/>
      <c r="E76" s="58"/>
      <c r="F76" s="58"/>
      <c r="G76" s="58"/>
      <c r="H76" s="58"/>
      <c r="I76" s="58"/>
      <c r="J76" s="58"/>
      <c r="K76" s="58"/>
      <c r="L76" s="50"/>
      <c r="M76" s="58"/>
      <c r="N76" s="58"/>
      <c r="O76" s="58"/>
      <c r="P76" s="58"/>
      <c r="Q76" s="58"/>
      <c r="S76" s="158"/>
      <c r="T76" s="159"/>
      <c r="U76" s="158"/>
      <c r="V76" s="159"/>
    </row>
    <row r="77" spans="2:22" x14ac:dyDescent="0.25">
      <c r="B77" s="156"/>
      <c r="C77" s="50"/>
      <c r="D77" s="58"/>
      <c r="E77" s="58"/>
      <c r="F77" s="58"/>
      <c r="G77" s="58"/>
      <c r="H77" s="58"/>
      <c r="I77" s="58"/>
      <c r="J77" s="58"/>
      <c r="K77" s="58"/>
      <c r="L77" s="50"/>
      <c r="M77" s="58"/>
      <c r="N77" s="58"/>
      <c r="O77" s="58"/>
      <c r="P77" s="58"/>
      <c r="Q77" s="58"/>
      <c r="S77" s="158"/>
      <c r="T77" s="159"/>
      <c r="U77" s="158"/>
      <c r="V77" s="159"/>
    </row>
    <row r="78" spans="2:22" x14ac:dyDescent="0.25">
      <c r="B78" s="156"/>
      <c r="C78" s="50"/>
      <c r="D78" s="58"/>
      <c r="E78" s="58"/>
      <c r="F78" s="58"/>
      <c r="G78" s="58"/>
      <c r="H78" s="58"/>
      <c r="I78" s="58"/>
      <c r="J78" s="58"/>
      <c r="K78" s="58"/>
      <c r="L78" s="50"/>
      <c r="M78" s="58"/>
      <c r="N78" s="58"/>
      <c r="O78" s="58"/>
      <c r="P78" s="58"/>
      <c r="Q78" s="58"/>
      <c r="S78" s="158"/>
      <c r="T78" s="159"/>
      <c r="U78" s="158"/>
      <c r="V78" s="159"/>
    </row>
    <row r="79" spans="2:22" x14ac:dyDescent="0.25">
      <c r="B79" s="156"/>
      <c r="C79" s="50"/>
      <c r="D79" s="58"/>
      <c r="E79" s="58"/>
      <c r="F79" s="58"/>
      <c r="G79" s="58"/>
      <c r="H79" s="58"/>
      <c r="I79" s="58"/>
      <c r="J79" s="58"/>
      <c r="K79" s="58"/>
      <c r="L79" s="50"/>
      <c r="M79" s="58"/>
      <c r="N79" s="58"/>
      <c r="O79" s="58"/>
      <c r="P79" s="58"/>
      <c r="Q79" s="58"/>
      <c r="S79" s="158"/>
      <c r="T79" s="159"/>
      <c r="U79" s="158"/>
      <c r="V79" s="159"/>
    </row>
    <row r="80" spans="2:22" x14ac:dyDescent="0.25">
      <c r="B80" s="156"/>
      <c r="C80" s="50"/>
      <c r="D80" s="58"/>
      <c r="E80" s="58"/>
      <c r="F80" s="58"/>
      <c r="G80" s="58"/>
      <c r="H80" s="58"/>
      <c r="I80" s="58"/>
      <c r="J80" s="58"/>
      <c r="K80" s="58"/>
      <c r="L80" s="50"/>
      <c r="M80" s="58"/>
      <c r="N80" s="58"/>
      <c r="O80" s="58"/>
      <c r="P80" s="58"/>
      <c r="Q80" s="58"/>
      <c r="S80" s="158"/>
      <c r="T80" s="159"/>
      <c r="U80" s="158"/>
      <c r="V80" s="159"/>
    </row>
    <row r="81" spans="2:22" x14ac:dyDescent="0.25">
      <c r="B81" s="156"/>
      <c r="C81" s="50"/>
      <c r="D81" s="58"/>
      <c r="E81" s="58"/>
      <c r="F81" s="58"/>
      <c r="G81" s="58"/>
      <c r="H81" s="58"/>
      <c r="I81" s="58"/>
      <c r="J81" s="58"/>
      <c r="K81" s="58"/>
      <c r="L81" s="50"/>
      <c r="M81" s="58"/>
      <c r="N81" s="58"/>
      <c r="O81" s="58"/>
      <c r="P81" s="58"/>
      <c r="Q81" s="58"/>
      <c r="S81" s="158"/>
      <c r="T81" s="159"/>
      <c r="U81" s="158"/>
      <c r="V81" s="159"/>
    </row>
    <row r="82" spans="2:22" x14ac:dyDescent="0.25">
      <c r="B82" s="156"/>
      <c r="C82" s="50"/>
      <c r="D82" s="58"/>
      <c r="E82" s="58"/>
      <c r="F82" s="58"/>
      <c r="G82" s="58"/>
      <c r="H82" s="58"/>
      <c r="I82" s="58"/>
      <c r="J82" s="58"/>
      <c r="K82" s="58"/>
      <c r="L82" s="50"/>
      <c r="M82" s="58"/>
      <c r="N82" s="58"/>
      <c r="O82" s="58"/>
      <c r="P82" s="58"/>
      <c r="Q82" s="58"/>
      <c r="S82" s="158"/>
      <c r="T82" s="159"/>
      <c r="U82" s="158"/>
      <c r="V82" s="159"/>
    </row>
    <row r="83" spans="2:22" x14ac:dyDescent="0.25">
      <c r="B83" s="156"/>
      <c r="C83" s="50"/>
      <c r="D83" s="58"/>
      <c r="E83" s="58"/>
      <c r="F83" s="58"/>
      <c r="G83" s="58"/>
      <c r="H83" s="58"/>
      <c r="I83" s="58"/>
      <c r="J83" s="58"/>
      <c r="K83" s="58"/>
      <c r="L83" s="50"/>
      <c r="M83" s="58"/>
      <c r="N83" s="58"/>
      <c r="O83" s="58"/>
      <c r="P83" s="58"/>
      <c r="Q83" s="58"/>
      <c r="S83" s="158"/>
      <c r="T83" s="159"/>
      <c r="U83" s="158"/>
      <c r="V83" s="159"/>
    </row>
    <row r="84" spans="2:22" x14ac:dyDescent="0.25">
      <c r="B84" s="156"/>
      <c r="C84" s="50"/>
      <c r="D84" s="58"/>
      <c r="E84" s="58"/>
      <c r="F84" s="58"/>
      <c r="G84" s="58"/>
      <c r="H84" s="58"/>
      <c r="I84" s="58"/>
      <c r="J84" s="58"/>
      <c r="K84" s="58"/>
      <c r="L84" s="50"/>
      <c r="M84" s="58"/>
      <c r="N84" s="58"/>
      <c r="O84" s="58"/>
      <c r="P84" s="58"/>
      <c r="Q84" s="58"/>
      <c r="S84" s="158"/>
      <c r="T84" s="159"/>
      <c r="U84" s="158"/>
      <c r="V84" s="159"/>
    </row>
    <row r="85" spans="2:22" x14ac:dyDescent="0.25">
      <c r="B85" s="156"/>
      <c r="C85" s="50"/>
      <c r="D85" s="58"/>
      <c r="E85" s="58"/>
      <c r="F85" s="58"/>
      <c r="G85" s="58"/>
      <c r="H85" s="58"/>
      <c r="I85" s="58"/>
      <c r="J85" s="58"/>
      <c r="K85" s="58"/>
      <c r="L85" s="50"/>
      <c r="M85" s="58"/>
      <c r="N85" s="58"/>
      <c r="O85" s="58"/>
      <c r="P85" s="58"/>
      <c r="Q85" s="58"/>
      <c r="S85" s="158"/>
      <c r="T85" s="159"/>
      <c r="U85" s="158"/>
      <c r="V85" s="159"/>
    </row>
    <row r="86" spans="2:22" x14ac:dyDescent="0.25">
      <c r="B86" s="156"/>
      <c r="C86" s="50"/>
      <c r="D86" s="58"/>
      <c r="E86" s="58"/>
      <c r="F86" s="58"/>
      <c r="G86" s="58"/>
      <c r="H86" s="58"/>
      <c r="I86" s="58"/>
      <c r="J86" s="58"/>
      <c r="K86" s="58"/>
      <c r="L86" s="50"/>
      <c r="M86" s="58"/>
      <c r="N86" s="58"/>
      <c r="O86" s="58"/>
      <c r="P86" s="58"/>
      <c r="Q86" s="58"/>
      <c r="S86" s="158"/>
      <c r="T86" s="159"/>
      <c r="U86" s="158"/>
      <c r="V86" s="159"/>
    </row>
    <row r="87" spans="2:22" x14ac:dyDescent="0.25">
      <c r="B87" s="156"/>
      <c r="C87" s="50"/>
      <c r="D87" s="58"/>
      <c r="E87" s="58"/>
      <c r="F87" s="58"/>
      <c r="G87" s="58"/>
      <c r="H87" s="58"/>
      <c r="I87" s="58"/>
      <c r="J87" s="58"/>
      <c r="K87" s="58"/>
      <c r="L87" s="50"/>
      <c r="M87" s="58"/>
      <c r="N87" s="58"/>
      <c r="O87" s="58"/>
      <c r="P87" s="58"/>
      <c r="Q87" s="58"/>
      <c r="S87" s="158"/>
      <c r="T87" s="159"/>
      <c r="U87" s="158"/>
      <c r="V87" s="159"/>
    </row>
    <row r="88" spans="2:22" x14ac:dyDescent="0.25">
      <c r="B88" s="156"/>
      <c r="C88" s="50"/>
      <c r="D88" s="58"/>
      <c r="E88" s="58"/>
      <c r="F88" s="58"/>
      <c r="G88" s="58"/>
      <c r="H88" s="58"/>
      <c r="I88" s="58"/>
      <c r="J88" s="58"/>
      <c r="K88" s="58"/>
      <c r="L88" s="50"/>
      <c r="M88" s="58"/>
      <c r="N88" s="58"/>
      <c r="O88" s="58"/>
      <c r="P88" s="58"/>
      <c r="Q88" s="58"/>
      <c r="S88" s="158"/>
      <c r="T88" s="159"/>
      <c r="U88" s="158"/>
      <c r="V88" s="159"/>
    </row>
    <row r="89" spans="2:22" x14ac:dyDescent="0.25">
      <c r="B89" s="156"/>
      <c r="C89" s="50"/>
      <c r="D89" s="58"/>
      <c r="E89" s="58"/>
      <c r="F89" s="58"/>
      <c r="G89" s="58"/>
      <c r="H89" s="58"/>
      <c r="I89" s="58"/>
      <c r="J89" s="58"/>
      <c r="K89" s="58"/>
      <c r="L89" s="50"/>
      <c r="M89" s="58"/>
      <c r="N89" s="58"/>
      <c r="O89" s="58"/>
      <c r="P89" s="58"/>
      <c r="Q89" s="58"/>
      <c r="S89" s="158"/>
      <c r="T89" s="159"/>
      <c r="U89" s="158"/>
      <c r="V89" s="159"/>
    </row>
    <row r="90" spans="2:22" x14ac:dyDescent="0.25">
      <c r="B90" s="156"/>
      <c r="C90" s="50"/>
      <c r="D90" s="58"/>
      <c r="E90" s="58"/>
      <c r="F90" s="58"/>
      <c r="G90" s="58"/>
      <c r="H90" s="58"/>
      <c r="I90" s="58"/>
      <c r="J90" s="58"/>
      <c r="K90" s="58"/>
      <c r="L90" s="50"/>
      <c r="M90" s="58"/>
      <c r="N90" s="58"/>
      <c r="O90" s="58"/>
      <c r="P90" s="58"/>
      <c r="Q90" s="58"/>
      <c r="S90" s="158"/>
      <c r="T90" s="159"/>
      <c r="U90" s="158"/>
      <c r="V90" s="159"/>
    </row>
    <row r="91" spans="2:22" x14ac:dyDescent="0.25">
      <c r="B91" s="156"/>
      <c r="C91" s="50"/>
      <c r="D91" s="58"/>
      <c r="E91" s="58"/>
      <c r="F91" s="58"/>
      <c r="G91" s="58"/>
      <c r="H91" s="58"/>
      <c r="I91" s="58"/>
      <c r="J91" s="58"/>
      <c r="K91" s="58"/>
      <c r="L91" s="50"/>
      <c r="M91" s="58"/>
      <c r="N91" s="58"/>
      <c r="O91" s="58"/>
      <c r="P91" s="58"/>
      <c r="Q91" s="58"/>
      <c r="S91" s="158"/>
      <c r="T91" s="159"/>
      <c r="U91" s="158"/>
      <c r="V91" s="159"/>
    </row>
    <row r="92" spans="2:22" x14ac:dyDescent="0.25">
      <c r="B92" s="156"/>
      <c r="C92" s="50"/>
      <c r="D92" s="58"/>
      <c r="E92" s="58"/>
      <c r="F92" s="58"/>
      <c r="G92" s="58"/>
      <c r="H92" s="58"/>
      <c r="I92" s="58"/>
      <c r="J92" s="58"/>
      <c r="K92" s="58"/>
      <c r="L92" s="50"/>
      <c r="M92" s="58"/>
      <c r="N92" s="58"/>
      <c r="O92" s="58"/>
      <c r="P92" s="58"/>
      <c r="Q92" s="58"/>
      <c r="S92" s="158"/>
      <c r="T92" s="159"/>
      <c r="U92" s="158"/>
      <c r="V92" s="159"/>
    </row>
    <row r="93" spans="2:22" x14ac:dyDescent="0.25">
      <c r="B93" s="156"/>
      <c r="C93" s="50"/>
      <c r="D93" s="58"/>
      <c r="E93" s="58"/>
      <c r="F93" s="58"/>
      <c r="G93" s="58"/>
      <c r="H93" s="58"/>
      <c r="I93" s="58"/>
      <c r="J93" s="58"/>
      <c r="K93" s="58"/>
      <c r="L93" s="50"/>
      <c r="M93" s="58"/>
      <c r="N93" s="58"/>
      <c r="O93" s="58"/>
      <c r="P93" s="58"/>
      <c r="Q93" s="58"/>
      <c r="S93" s="158"/>
      <c r="T93" s="159"/>
      <c r="U93" s="158"/>
      <c r="V93" s="159"/>
    </row>
    <row r="94" spans="2:22" x14ac:dyDescent="0.25">
      <c r="B94" s="156"/>
      <c r="C94" s="50"/>
      <c r="D94" s="58"/>
      <c r="E94" s="58"/>
      <c r="F94" s="58"/>
      <c r="G94" s="58"/>
      <c r="H94" s="58"/>
      <c r="I94" s="58"/>
      <c r="J94" s="58"/>
      <c r="K94" s="58"/>
      <c r="L94" s="50"/>
      <c r="M94" s="58"/>
      <c r="N94" s="58"/>
      <c r="O94" s="58"/>
      <c r="P94" s="58"/>
      <c r="Q94" s="58"/>
      <c r="S94" s="158"/>
      <c r="T94" s="159"/>
      <c r="U94" s="158"/>
      <c r="V94" s="159"/>
    </row>
    <row r="95" spans="2:22" x14ac:dyDescent="0.25">
      <c r="B95" s="156"/>
      <c r="C95" s="50"/>
      <c r="D95" s="58"/>
      <c r="E95" s="58"/>
      <c r="F95" s="58"/>
      <c r="G95" s="58"/>
      <c r="H95" s="58"/>
      <c r="I95" s="58"/>
      <c r="J95" s="58"/>
      <c r="K95" s="58"/>
      <c r="L95" s="50"/>
      <c r="M95" s="58"/>
      <c r="N95" s="58"/>
      <c r="O95" s="58"/>
      <c r="P95" s="58"/>
      <c r="Q95" s="58"/>
      <c r="S95" s="158"/>
      <c r="T95" s="159"/>
      <c r="U95" s="158"/>
      <c r="V95" s="159"/>
    </row>
    <row r="96" spans="2:22" x14ac:dyDescent="0.25">
      <c r="B96" s="156"/>
      <c r="C96" s="50"/>
      <c r="D96" s="58"/>
      <c r="E96" s="58"/>
      <c r="F96" s="58"/>
      <c r="G96" s="58"/>
      <c r="H96" s="58"/>
      <c r="I96" s="58"/>
      <c r="J96" s="58"/>
      <c r="K96" s="58"/>
      <c r="L96" s="50"/>
      <c r="M96" s="58"/>
      <c r="N96" s="58"/>
      <c r="O96" s="58"/>
      <c r="P96" s="58"/>
      <c r="Q96" s="58"/>
      <c r="S96" s="158"/>
      <c r="T96" s="159"/>
      <c r="U96" s="158"/>
      <c r="V96" s="159"/>
    </row>
    <row r="97" spans="2:22" x14ac:dyDescent="0.25">
      <c r="B97" s="156"/>
      <c r="C97" s="50"/>
      <c r="D97" s="58"/>
      <c r="E97" s="58"/>
      <c r="F97" s="58"/>
      <c r="G97" s="58"/>
      <c r="H97" s="58"/>
      <c r="I97" s="58"/>
      <c r="J97" s="58"/>
      <c r="K97" s="58"/>
      <c r="L97" s="50"/>
      <c r="M97" s="58"/>
      <c r="N97" s="58"/>
      <c r="O97" s="58"/>
      <c r="P97" s="58"/>
      <c r="Q97" s="58"/>
      <c r="S97" s="158"/>
      <c r="T97" s="159"/>
      <c r="U97" s="158"/>
      <c r="V97" s="159"/>
    </row>
    <row r="98" spans="2:22" x14ac:dyDescent="0.25">
      <c r="B98" s="156"/>
      <c r="C98" s="50"/>
      <c r="D98" s="58"/>
      <c r="E98" s="58"/>
      <c r="F98" s="58"/>
      <c r="G98" s="58"/>
      <c r="H98" s="58"/>
      <c r="I98" s="58"/>
      <c r="J98" s="58"/>
      <c r="K98" s="58"/>
      <c r="L98" s="50"/>
      <c r="M98" s="58"/>
      <c r="N98" s="58"/>
      <c r="O98" s="58"/>
      <c r="P98" s="58"/>
      <c r="Q98" s="58"/>
      <c r="S98" s="158"/>
      <c r="T98" s="159"/>
      <c r="U98" s="158"/>
      <c r="V98" s="159"/>
    </row>
    <row r="99" spans="2:22" x14ac:dyDescent="0.25">
      <c r="B99" s="156"/>
      <c r="C99" s="50"/>
      <c r="D99" s="58"/>
      <c r="E99" s="58"/>
      <c r="F99" s="58"/>
      <c r="G99" s="58"/>
      <c r="H99" s="58"/>
      <c r="I99" s="58"/>
      <c r="J99" s="58"/>
      <c r="K99" s="58"/>
      <c r="L99" s="50"/>
      <c r="M99" s="58"/>
      <c r="N99" s="58"/>
      <c r="O99" s="58"/>
      <c r="P99" s="58"/>
      <c r="Q99" s="58"/>
      <c r="S99" s="158"/>
      <c r="T99" s="159"/>
      <c r="U99" s="158"/>
      <c r="V99" s="159"/>
    </row>
    <row r="100" spans="2:22" x14ac:dyDescent="0.25">
      <c r="B100" s="156"/>
      <c r="C100" s="50"/>
      <c r="D100" s="58"/>
      <c r="E100" s="58"/>
      <c r="F100" s="58"/>
      <c r="G100" s="58"/>
      <c r="H100" s="58"/>
      <c r="I100" s="58"/>
      <c r="J100" s="58"/>
      <c r="K100" s="58"/>
      <c r="L100" s="50"/>
      <c r="M100" s="58"/>
      <c r="N100" s="58"/>
      <c r="O100" s="58"/>
      <c r="P100" s="58"/>
      <c r="Q100" s="58"/>
      <c r="S100" s="158"/>
      <c r="T100" s="159"/>
      <c r="U100" s="158"/>
      <c r="V100" s="159"/>
    </row>
    <row r="101" spans="2:22" x14ac:dyDescent="0.25">
      <c r="B101" s="156"/>
      <c r="C101" s="50"/>
      <c r="D101" s="58"/>
      <c r="E101" s="58"/>
      <c r="F101" s="58"/>
      <c r="G101" s="58"/>
      <c r="H101" s="58"/>
      <c r="I101" s="58"/>
      <c r="J101" s="58"/>
      <c r="K101" s="58"/>
      <c r="L101" s="50"/>
      <c r="M101" s="58"/>
      <c r="N101" s="58"/>
      <c r="O101" s="58"/>
      <c r="P101" s="58"/>
      <c r="Q101" s="58"/>
      <c r="S101" s="158"/>
      <c r="T101" s="159"/>
      <c r="U101" s="158"/>
      <c r="V101" s="159"/>
    </row>
    <row r="102" spans="2:22" x14ac:dyDescent="0.25">
      <c r="B102" s="156"/>
      <c r="C102" s="50"/>
      <c r="D102" s="58"/>
      <c r="E102" s="58"/>
      <c r="F102" s="58"/>
      <c r="G102" s="58"/>
      <c r="H102" s="58"/>
      <c r="I102" s="58"/>
      <c r="J102" s="58"/>
      <c r="K102" s="58"/>
      <c r="L102" s="50"/>
      <c r="M102" s="58"/>
      <c r="N102" s="58"/>
      <c r="O102" s="58"/>
      <c r="P102" s="58"/>
      <c r="Q102" s="58"/>
      <c r="S102" s="158"/>
      <c r="T102" s="159"/>
      <c r="U102" s="158"/>
      <c r="V102" s="159"/>
    </row>
    <row r="103" spans="2:22" x14ac:dyDescent="0.25">
      <c r="C103" s="50"/>
      <c r="D103" s="58"/>
      <c r="E103" s="58"/>
      <c r="F103" s="58"/>
      <c r="G103" s="58"/>
      <c r="H103" s="58"/>
      <c r="I103" s="58"/>
      <c r="J103" s="58"/>
      <c r="K103" s="58"/>
      <c r="L103" s="50"/>
      <c r="M103" s="58"/>
      <c r="N103" s="58"/>
      <c r="O103" s="58"/>
      <c r="P103" s="58"/>
      <c r="Q103" s="58"/>
      <c r="S103" s="59"/>
      <c r="T103" s="60"/>
      <c r="U103" s="59"/>
      <c r="V103" s="60"/>
    </row>
    <row r="104" spans="2:22" x14ac:dyDescent="0.25">
      <c r="C104" s="50"/>
      <c r="D104" s="58"/>
      <c r="E104" s="58"/>
      <c r="F104" s="58"/>
      <c r="G104" s="58"/>
      <c r="H104" s="58"/>
      <c r="I104" s="58"/>
      <c r="J104" s="58"/>
      <c r="K104" s="58"/>
      <c r="L104" s="50"/>
      <c r="M104" s="58"/>
      <c r="N104" s="58"/>
      <c r="O104" s="58"/>
      <c r="P104" s="58"/>
      <c r="Q104" s="58"/>
      <c r="S104" s="59"/>
      <c r="T104" s="60"/>
      <c r="U104" s="59"/>
      <c r="V104" s="60"/>
    </row>
    <row r="105" spans="2:22" x14ac:dyDescent="0.25">
      <c r="C105" s="50"/>
      <c r="D105" s="58"/>
      <c r="E105" s="58"/>
      <c r="F105" s="58"/>
      <c r="G105" s="58"/>
      <c r="H105" s="58"/>
      <c r="I105" s="58"/>
      <c r="J105" s="58"/>
      <c r="K105" s="58"/>
      <c r="L105" s="50"/>
      <c r="M105" s="58"/>
      <c r="N105" s="58"/>
      <c r="O105" s="58"/>
      <c r="P105" s="58"/>
      <c r="Q105" s="58"/>
      <c r="S105" s="59"/>
      <c r="T105" s="60"/>
      <c r="U105" s="59"/>
      <c r="V105" s="60"/>
    </row>
    <row r="106" spans="2:22" x14ac:dyDescent="0.25">
      <c r="C106" s="50"/>
      <c r="D106" s="58"/>
      <c r="E106" s="58"/>
      <c r="F106" s="58"/>
      <c r="G106" s="58"/>
      <c r="H106" s="58"/>
      <c r="I106" s="58"/>
      <c r="J106" s="58"/>
      <c r="K106" s="58"/>
      <c r="L106" s="50"/>
      <c r="M106" s="58"/>
      <c r="N106" s="58"/>
      <c r="O106" s="58"/>
      <c r="P106" s="58"/>
      <c r="Q106" s="58"/>
      <c r="S106" s="59"/>
      <c r="T106" s="60"/>
      <c r="U106" s="59"/>
      <c r="V106" s="60"/>
    </row>
    <row r="107" spans="2:22" x14ac:dyDescent="0.25">
      <c r="C107" s="50"/>
      <c r="D107" s="58"/>
      <c r="E107" s="58"/>
      <c r="F107" s="58"/>
      <c r="G107" s="58"/>
      <c r="H107" s="58"/>
      <c r="I107" s="58"/>
      <c r="J107" s="58"/>
      <c r="K107" s="58"/>
      <c r="L107" s="50"/>
      <c r="M107" s="58"/>
      <c r="N107" s="58"/>
      <c r="O107" s="58"/>
      <c r="P107" s="58"/>
      <c r="Q107" s="58"/>
      <c r="S107" s="59"/>
      <c r="T107" s="60"/>
      <c r="U107" s="59"/>
      <c r="V107" s="60"/>
    </row>
    <row r="108" spans="2:22" x14ac:dyDescent="0.25">
      <c r="C108" s="50"/>
      <c r="D108" s="58"/>
      <c r="E108" s="58"/>
      <c r="F108" s="58"/>
      <c r="G108" s="58"/>
      <c r="H108" s="58"/>
      <c r="I108" s="58"/>
      <c r="J108" s="58"/>
      <c r="K108" s="58"/>
      <c r="L108" s="50"/>
      <c r="M108" s="58"/>
      <c r="N108" s="58"/>
      <c r="O108" s="58"/>
      <c r="P108" s="58"/>
      <c r="Q108" s="58"/>
      <c r="S108" s="59"/>
      <c r="T108" s="60"/>
      <c r="U108" s="59"/>
      <c r="V108" s="60"/>
    </row>
    <row r="109" spans="2:22" x14ac:dyDescent="0.25">
      <c r="C109" s="50"/>
      <c r="D109" s="58"/>
      <c r="E109" s="58"/>
      <c r="F109" s="58"/>
      <c r="G109" s="58"/>
      <c r="H109" s="58"/>
      <c r="I109" s="58"/>
      <c r="J109" s="58"/>
      <c r="K109" s="58"/>
      <c r="L109" s="50"/>
      <c r="M109" s="58"/>
      <c r="N109" s="58"/>
      <c r="O109" s="58"/>
      <c r="P109" s="58"/>
      <c r="Q109" s="58"/>
      <c r="S109" s="59"/>
      <c r="T109" s="60"/>
      <c r="U109" s="59"/>
      <c r="V109" s="60"/>
    </row>
    <row r="110" spans="2:22" x14ac:dyDescent="0.25">
      <c r="C110" s="50"/>
      <c r="D110" s="58"/>
      <c r="E110" s="58"/>
      <c r="F110" s="58"/>
      <c r="G110" s="58"/>
      <c r="H110" s="58"/>
      <c r="I110" s="58"/>
      <c r="J110" s="58"/>
      <c r="K110" s="58"/>
      <c r="L110" s="50"/>
      <c r="M110" s="58"/>
      <c r="N110" s="58"/>
      <c r="O110" s="58"/>
      <c r="P110" s="58"/>
      <c r="Q110" s="58"/>
      <c r="S110" s="59"/>
      <c r="T110" s="60"/>
      <c r="U110" s="59"/>
      <c r="V110" s="60"/>
    </row>
    <row r="111" spans="2:22" x14ac:dyDescent="0.25">
      <c r="C111" s="50"/>
      <c r="D111" s="58"/>
      <c r="E111" s="58"/>
      <c r="F111" s="58"/>
      <c r="G111" s="58"/>
      <c r="H111" s="58"/>
      <c r="I111" s="58"/>
      <c r="J111" s="58"/>
      <c r="K111" s="58"/>
      <c r="L111" s="50"/>
      <c r="M111" s="58"/>
      <c r="N111" s="58"/>
      <c r="O111" s="58"/>
      <c r="P111" s="58"/>
      <c r="Q111" s="58"/>
      <c r="S111" s="59"/>
      <c r="T111" s="60"/>
      <c r="U111" s="59"/>
      <c r="V111" s="60"/>
    </row>
    <row r="112" spans="2:22" x14ac:dyDescent="0.25">
      <c r="C112" s="50"/>
      <c r="D112" s="58"/>
      <c r="E112" s="58"/>
      <c r="F112" s="58"/>
      <c r="G112" s="58"/>
      <c r="H112" s="58"/>
      <c r="I112" s="58"/>
      <c r="J112" s="58"/>
      <c r="K112" s="58"/>
      <c r="L112" s="50"/>
      <c r="M112" s="58"/>
      <c r="N112" s="58"/>
      <c r="O112" s="58"/>
      <c r="P112" s="58"/>
      <c r="Q112" s="58"/>
      <c r="S112" s="59"/>
      <c r="T112" s="60"/>
      <c r="U112" s="59"/>
      <c r="V112" s="60"/>
    </row>
    <row r="113" spans="3:22" x14ac:dyDescent="0.25">
      <c r="C113" s="50"/>
      <c r="D113" s="58"/>
      <c r="E113" s="58"/>
      <c r="F113" s="58"/>
      <c r="G113" s="58"/>
      <c r="H113" s="58"/>
      <c r="I113" s="58"/>
      <c r="J113" s="58"/>
      <c r="K113" s="58"/>
      <c r="L113" s="50"/>
      <c r="M113" s="58"/>
      <c r="N113" s="58"/>
      <c r="O113" s="58"/>
      <c r="P113" s="58"/>
      <c r="Q113" s="58"/>
      <c r="S113" s="59"/>
      <c r="T113" s="60"/>
      <c r="U113" s="59"/>
      <c r="V113" s="60"/>
    </row>
    <row r="114" spans="3:22" x14ac:dyDescent="0.25">
      <c r="C114" s="50"/>
      <c r="D114" s="58"/>
      <c r="E114" s="58"/>
      <c r="F114" s="58"/>
      <c r="G114" s="58"/>
      <c r="H114" s="58"/>
      <c r="I114" s="58"/>
      <c r="J114" s="58"/>
      <c r="K114" s="58"/>
      <c r="L114" s="50"/>
      <c r="M114" s="58"/>
      <c r="N114" s="58"/>
      <c r="O114" s="58"/>
      <c r="P114" s="58"/>
      <c r="Q114" s="58"/>
      <c r="S114" s="59"/>
      <c r="T114" s="60"/>
      <c r="U114" s="59"/>
      <c r="V114" s="60"/>
    </row>
    <row r="115" spans="3:22" x14ac:dyDescent="0.25">
      <c r="C115" s="50"/>
      <c r="D115" s="58"/>
      <c r="E115" s="58"/>
      <c r="F115" s="58"/>
      <c r="G115" s="58"/>
      <c r="H115" s="58"/>
      <c r="I115" s="58"/>
      <c r="J115" s="58"/>
      <c r="K115" s="58"/>
      <c r="L115" s="50"/>
      <c r="M115" s="58"/>
      <c r="N115" s="58"/>
      <c r="O115" s="58"/>
      <c r="P115" s="58"/>
      <c r="Q115" s="58"/>
      <c r="S115" s="59"/>
      <c r="T115" s="60"/>
      <c r="U115" s="59"/>
      <c r="V115" s="60"/>
    </row>
    <row r="116" spans="3:22" x14ac:dyDescent="0.25">
      <c r="C116" s="50"/>
      <c r="D116" s="58"/>
      <c r="E116" s="58"/>
      <c r="F116" s="58"/>
      <c r="G116" s="58"/>
      <c r="H116" s="58"/>
      <c r="I116" s="58"/>
      <c r="J116" s="58"/>
      <c r="K116" s="58"/>
      <c r="L116" s="50"/>
      <c r="M116" s="58"/>
      <c r="N116" s="58"/>
      <c r="O116" s="58"/>
      <c r="P116" s="58"/>
      <c r="Q116" s="58"/>
      <c r="S116" s="59"/>
      <c r="T116" s="60"/>
      <c r="U116" s="59"/>
      <c r="V116" s="60"/>
    </row>
    <row r="117" spans="3:22" x14ac:dyDescent="0.25">
      <c r="C117" s="50"/>
      <c r="D117" s="58"/>
      <c r="E117" s="58"/>
      <c r="F117" s="58"/>
      <c r="G117" s="58"/>
      <c r="H117" s="58"/>
      <c r="I117" s="58"/>
      <c r="J117" s="58"/>
      <c r="K117" s="58"/>
      <c r="L117" s="50"/>
      <c r="M117" s="58"/>
      <c r="N117" s="58"/>
      <c r="O117" s="58"/>
      <c r="P117" s="58"/>
      <c r="Q117" s="58"/>
      <c r="S117" s="59"/>
      <c r="T117" s="60"/>
      <c r="U117" s="59"/>
      <c r="V117" s="60"/>
    </row>
    <row r="118" spans="3:22" x14ac:dyDescent="0.25">
      <c r="C118" s="50"/>
      <c r="D118" s="58"/>
      <c r="E118" s="58"/>
      <c r="F118" s="58"/>
      <c r="G118" s="58"/>
      <c r="H118" s="58"/>
      <c r="I118" s="58"/>
      <c r="J118" s="58"/>
      <c r="K118" s="58"/>
      <c r="L118" s="50"/>
      <c r="M118" s="58"/>
      <c r="N118" s="58"/>
      <c r="O118" s="58"/>
      <c r="P118" s="58"/>
      <c r="Q118" s="58"/>
      <c r="S118" s="59"/>
      <c r="T118" s="60"/>
      <c r="U118" s="59"/>
      <c r="V118" s="60"/>
    </row>
    <row r="119" spans="3:22" x14ac:dyDescent="0.25">
      <c r="C119" s="50"/>
      <c r="D119" s="58"/>
      <c r="E119" s="58"/>
      <c r="F119" s="58"/>
      <c r="G119" s="58"/>
      <c r="H119" s="58"/>
      <c r="I119" s="58"/>
      <c r="J119" s="58"/>
      <c r="K119" s="58"/>
      <c r="L119" s="50"/>
      <c r="M119" s="58"/>
      <c r="N119" s="58"/>
      <c r="O119" s="58"/>
      <c r="P119" s="58"/>
      <c r="Q119" s="58"/>
      <c r="S119" s="59"/>
      <c r="T119" s="60"/>
      <c r="U119" s="59"/>
      <c r="V119" s="60"/>
    </row>
    <row r="120" spans="3:22" x14ac:dyDescent="0.25">
      <c r="C120" s="50"/>
      <c r="D120" s="58"/>
      <c r="E120" s="58"/>
      <c r="F120" s="58"/>
      <c r="G120" s="58"/>
      <c r="H120" s="58"/>
      <c r="I120" s="58"/>
      <c r="J120" s="58"/>
      <c r="K120" s="58"/>
      <c r="L120" s="50"/>
      <c r="M120" s="58"/>
      <c r="N120" s="58"/>
      <c r="O120" s="58"/>
      <c r="P120" s="58"/>
      <c r="Q120" s="58"/>
      <c r="S120" s="59"/>
      <c r="T120" s="60"/>
      <c r="U120" s="59"/>
      <c r="V120" s="60"/>
    </row>
    <row r="121" spans="3:22" x14ac:dyDescent="0.25">
      <c r="C121" s="50"/>
      <c r="D121" s="58"/>
      <c r="E121" s="58"/>
      <c r="F121" s="58"/>
      <c r="G121" s="58"/>
      <c r="H121" s="58"/>
      <c r="I121" s="58"/>
      <c r="J121" s="58"/>
      <c r="K121" s="58"/>
      <c r="L121" s="50"/>
      <c r="M121" s="58"/>
      <c r="N121" s="58"/>
      <c r="O121" s="58"/>
      <c r="P121" s="58"/>
      <c r="Q121" s="58"/>
      <c r="S121" s="59"/>
      <c r="T121" s="60"/>
      <c r="U121" s="59"/>
      <c r="V121" s="60"/>
    </row>
    <row r="122" spans="3:22" x14ac:dyDescent="0.25">
      <c r="C122" s="50"/>
      <c r="D122" s="58"/>
      <c r="E122" s="58"/>
      <c r="F122" s="58"/>
      <c r="G122" s="58"/>
      <c r="H122" s="58"/>
      <c r="I122" s="58"/>
      <c r="J122" s="58"/>
      <c r="K122" s="58"/>
      <c r="L122" s="50"/>
      <c r="M122" s="58"/>
      <c r="N122" s="58"/>
      <c r="O122" s="58"/>
      <c r="P122" s="58"/>
      <c r="Q122" s="58"/>
      <c r="S122" s="59"/>
      <c r="T122" s="60"/>
      <c r="U122" s="59"/>
      <c r="V122" s="60"/>
    </row>
    <row r="123" spans="3:22" x14ac:dyDescent="0.25">
      <c r="C123" s="50"/>
      <c r="D123" s="58"/>
      <c r="E123" s="58"/>
      <c r="F123" s="58"/>
      <c r="G123" s="58"/>
      <c r="H123" s="58"/>
      <c r="I123" s="58"/>
      <c r="J123" s="58"/>
      <c r="K123" s="58"/>
      <c r="L123" s="50"/>
      <c r="M123" s="58"/>
      <c r="N123" s="58"/>
      <c r="O123" s="58"/>
      <c r="P123" s="58"/>
      <c r="Q123" s="58"/>
      <c r="S123" s="59"/>
      <c r="T123" s="60"/>
      <c r="U123" s="59"/>
      <c r="V123" s="60"/>
    </row>
    <row r="124" spans="3:22" x14ac:dyDescent="0.25">
      <c r="C124" s="50"/>
      <c r="D124" s="58"/>
      <c r="E124" s="58"/>
      <c r="F124" s="58"/>
      <c r="G124" s="58"/>
      <c r="H124" s="58"/>
      <c r="I124" s="58"/>
      <c r="J124" s="58"/>
      <c r="K124" s="58"/>
      <c r="L124" s="50"/>
      <c r="M124" s="58"/>
      <c r="N124" s="58"/>
      <c r="O124" s="58"/>
      <c r="P124" s="58"/>
      <c r="Q124" s="58"/>
      <c r="S124" s="59"/>
      <c r="T124" s="60"/>
      <c r="U124" s="59"/>
      <c r="V124" s="60"/>
    </row>
    <row r="125" spans="3:22" x14ac:dyDescent="0.25">
      <c r="C125" s="50"/>
      <c r="D125" s="58"/>
      <c r="E125" s="58"/>
      <c r="F125" s="58"/>
      <c r="G125" s="58"/>
      <c r="H125" s="58"/>
      <c r="I125" s="58"/>
      <c r="J125" s="58"/>
      <c r="K125" s="58"/>
      <c r="L125" s="50"/>
      <c r="M125" s="58"/>
      <c r="N125" s="58"/>
      <c r="O125" s="58"/>
      <c r="P125" s="58"/>
      <c r="Q125" s="58"/>
      <c r="S125" s="59"/>
      <c r="T125" s="60"/>
      <c r="U125" s="59"/>
      <c r="V125" s="60"/>
    </row>
    <row r="126" spans="3:22" x14ac:dyDescent="0.25">
      <c r="C126" s="50"/>
      <c r="D126" s="58"/>
      <c r="E126" s="58"/>
      <c r="F126" s="58"/>
      <c r="G126" s="58"/>
      <c r="H126" s="58"/>
      <c r="I126" s="58"/>
      <c r="J126" s="58"/>
      <c r="K126" s="58"/>
      <c r="L126" s="50"/>
      <c r="M126" s="58"/>
      <c r="N126" s="58"/>
      <c r="O126" s="58"/>
      <c r="P126" s="58"/>
      <c r="Q126" s="58"/>
      <c r="S126" s="59"/>
      <c r="T126" s="60"/>
      <c r="U126" s="59"/>
      <c r="V126" s="60"/>
    </row>
    <row r="127" spans="3:22" x14ac:dyDescent="0.25">
      <c r="C127" s="50"/>
      <c r="D127" s="58"/>
      <c r="E127" s="58"/>
      <c r="F127" s="58"/>
      <c r="G127" s="58"/>
      <c r="H127" s="58"/>
      <c r="I127" s="58"/>
      <c r="J127" s="58"/>
      <c r="K127" s="58"/>
      <c r="L127" s="50"/>
      <c r="M127" s="58"/>
      <c r="N127" s="58"/>
      <c r="O127" s="58"/>
      <c r="P127" s="58"/>
      <c r="Q127" s="58"/>
      <c r="S127" s="59"/>
      <c r="T127" s="60"/>
      <c r="U127" s="59"/>
      <c r="V127" s="60"/>
    </row>
    <row r="128" spans="3:22" x14ac:dyDescent="0.25">
      <c r="C128" s="50"/>
      <c r="D128" s="58"/>
      <c r="E128" s="58"/>
      <c r="F128" s="58"/>
      <c r="G128" s="58"/>
      <c r="H128" s="58"/>
      <c r="I128" s="58"/>
      <c r="J128" s="58"/>
      <c r="K128" s="58"/>
      <c r="L128" s="50"/>
      <c r="M128" s="58"/>
      <c r="N128" s="58"/>
      <c r="O128" s="58"/>
      <c r="P128" s="58"/>
      <c r="Q128" s="58"/>
      <c r="S128" s="59"/>
      <c r="T128" s="60"/>
      <c r="U128" s="59"/>
      <c r="V128" s="60"/>
    </row>
    <row r="129" spans="3:22" x14ac:dyDescent="0.25">
      <c r="C129" s="50"/>
      <c r="D129" s="58"/>
      <c r="E129" s="58"/>
      <c r="F129" s="58"/>
      <c r="G129" s="58"/>
      <c r="H129" s="58"/>
      <c r="I129" s="58"/>
      <c r="J129" s="58"/>
      <c r="K129" s="58"/>
      <c r="L129" s="50"/>
      <c r="M129" s="58"/>
      <c r="N129" s="58"/>
      <c r="O129" s="58"/>
      <c r="P129" s="58"/>
      <c r="Q129" s="58"/>
      <c r="S129" s="59"/>
      <c r="T129" s="60"/>
      <c r="U129" s="59"/>
      <c r="V129" s="60"/>
    </row>
    <row r="130" spans="3:22" x14ac:dyDescent="0.25">
      <c r="C130" s="50"/>
      <c r="D130" s="58"/>
      <c r="E130" s="58"/>
      <c r="F130" s="58"/>
      <c r="G130" s="58"/>
      <c r="H130" s="58"/>
      <c r="I130" s="58"/>
      <c r="J130" s="58"/>
      <c r="K130" s="58"/>
      <c r="L130" s="50"/>
      <c r="M130" s="58"/>
      <c r="N130" s="58"/>
      <c r="O130" s="58"/>
      <c r="P130" s="58"/>
      <c r="Q130" s="58"/>
      <c r="S130" s="59"/>
      <c r="T130" s="60"/>
      <c r="U130" s="59"/>
      <c r="V130" s="60"/>
    </row>
    <row r="131" spans="3:22" x14ac:dyDescent="0.25">
      <c r="C131" s="50"/>
      <c r="D131" s="58"/>
      <c r="E131" s="58"/>
      <c r="F131" s="58"/>
      <c r="G131" s="58"/>
      <c r="H131" s="58"/>
      <c r="I131" s="58"/>
      <c r="J131" s="58"/>
      <c r="K131" s="58"/>
      <c r="L131" s="50"/>
      <c r="M131" s="58"/>
      <c r="N131" s="58"/>
      <c r="O131" s="58"/>
      <c r="P131" s="58"/>
      <c r="Q131" s="58"/>
      <c r="S131" s="59"/>
      <c r="T131" s="60"/>
      <c r="U131" s="59"/>
      <c r="V131" s="60"/>
    </row>
    <row r="132" spans="3:22" x14ac:dyDescent="0.25">
      <c r="C132" s="50"/>
      <c r="D132" s="58"/>
      <c r="E132" s="58"/>
      <c r="F132" s="58"/>
      <c r="G132" s="58"/>
      <c r="H132" s="58"/>
      <c r="I132" s="58"/>
      <c r="J132" s="58"/>
      <c r="K132" s="58"/>
      <c r="L132" s="50"/>
      <c r="M132" s="58"/>
      <c r="N132" s="58"/>
      <c r="O132" s="58"/>
      <c r="P132" s="58"/>
      <c r="Q132" s="58"/>
      <c r="S132" s="59"/>
      <c r="T132" s="60"/>
      <c r="U132" s="59"/>
      <c r="V132" s="60"/>
    </row>
    <row r="133" spans="3:22" x14ac:dyDescent="0.25">
      <c r="C133" s="50"/>
      <c r="D133" s="58"/>
      <c r="E133" s="58"/>
      <c r="F133" s="58"/>
      <c r="G133" s="58"/>
      <c r="H133" s="58"/>
      <c r="I133" s="58"/>
      <c r="J133" s="58"/>
      <c r="K133" s="58"/>
      <c r="L133" s="50"/>
      <c r="M133" s="58"/>
      <c r="N133" s="58"/>
      <c r="O133" s="58"/>
      <c r="P133" s="58"/>
      <c r="Q133" s="58"/>
      <c r="S133" s="59"/>
      <c r="T133" s="60"/>
      <c r="U133" s="59"/>
      <c r="V133" s="60"/>
    </row>
    <row r="134" spans="3:22" x14ac:dyDescent="0.25">
      <c r="C134" s="50"/>
      <c r="D134" s="58"/>
      <c r="E134" s="58"/>
      <c r="F134" s="58"/>
      <c r="G134" s="58"/>
      <c r="H134" s="58"/>
      <c r="I134" s="58"/>
      <c r="J134" s="58"/>
      <c r="K134" s="58"/>
      <c r="L134" s="50"/>
      <c r="M134" s="58"/>
      <c r="N134" s="58"/>
      <c r="O134" s="58"/>
      <c r="P134" s="58"/>
      <c r="Q134" s="58"/>
      <c r="S134" s="59"/>
      <c r="T134" s="60"/>
      <c r="U134" s="59"/>
      <c r="V134" s="60"/>
    </row>
    <row r="135" spans="3:22" x14ac:dyDescent="0.25">
      <c r="C135" s="50"/>
      <c r="D135" s="58"/>
      <c r="E135" s="58"/>
      <c r="F135" s="58"/>
      <c r="G135" s="58"/>
      <c r="H135" s="58"/>
      <c r="I135" s="58"/>
      <c r="J135" s="58"/>
      <c r="K135" s="58"/>
      <c r="L135" s="50"/>
      <c r="M135" s="58"/>
      <c r="N135" s="58"/>
      <c r="O135" s="58"/>
      <c r="P135" s="58"/>
      <c r="Q135" s="58"/>
      <c r="S135" s="59"/>
      <c r="T135" s="60"/>
      <c r="U135" s="59"/>
      <c r="V135" s="60"/>
    </row>
    <row r="136" spans="3:22" x14ac:dyDescent="0.25">
      <c r="C136" s="50"/>
      <c r="D136" s="58"/>
      <c r="E136" s="58"/>
      <c r="F136" s="58"/>
      <c r="G136" s="58"/>
      <c r="H136" s="58"/>
      <c r="I136" s="58"/>
      <c r="J136" s="58"/>
      <c r="K136" s="58"/>
      <c r="L136" s="50"/>
      <c r="M136" s="58"/>
      <c r="N136" s="58"/>
      <c r="O136" s="58"/>
      <c r="P136" s="58"/>
      <c r="Q136" s="58"/>
      <c r="S136" s="59"/>
      <c r="T136" s="60"/>
      <c r="U136" s="59"/>
      <c r="V136" s="60"/>
    </row>
    <row r="137" spans="3:22" x14ac:dyDescent="0.25">
      <c r="C137" s="50"/>
      <c r="D137" s="58"/>
      <c r="E137" s="58"/>
      <c r="F137" s="58"/>
      <c r="G137" s="58"/>
      <c r="H137" s="58"/>
      <c r="I137" s="58"/>
      <c r="J137" s="58"/>
      <c r="K137" s="58"/>
      <c r="L137" s="50"/>
      <c r="M137" s="58"/>
      <c r="N137" s="58"/>
      <c r="O137" s="58"/>
      <c r="P137" s="58"/>
      <c r="Q137" s="58"/>
      <c r="S137" s="59"/>
      <c r="T137" s="60"/>
      <c r="U137" s="59"/>
      <c r="V137" s="60"/>
    </row>
    <row r="138" spans="3:22" x14ac:dyDescent="0.25">
      <c r="C138" s="50"/>
      <c r="D138" s="58"/>
      <c r="E138" s="58"/>
      <c r="F138" s="58"/>
      <c r="G138" s="58"/>
      <c r="H138" s="58"/>
      <c r="I138" s="58"/>
      <c r="J138" s="58"/>
      <c r="K138" s="58"/>
      <c r="L138" s="50"/>
      <c r="M138" s="58"/>
      <c r="N138" s="58"/>
      <c r="O138" s="58"/>
      <c r="P138" s="58"/>
      <c r="Q138" s="58"/>
      <c r="S138" s="59"/>
      <c r="T138" s="60"/>
      <c r="U138" s="59"/>
      <c r="V138" s="60"/>
    </row>
    <row r="139" spans="3:22" x14ac:dyDescent="0.25">
      <c r="C139" s="50"/>
      <c r="D139" s="58"/>
      <c r="E139" s="58"/>
      <c r="F139" s="58"/>
      <c r="G139" s="58"/>
      <c r="H139" s="58"/>
      <c r="I139" s="58"/>
      <c r="J139" s="58"/>
      <c r="K139" s="58"/>
      <c r="L139" s="50"/>
      <c r="M139" s="58"/>
      <c r="N139" s="58"/>
      <c r="O139" s="58"/>
      <c r="P139" s="58"/>
      <c r="Q139" s="58"/>
      <c r="S139" s="59"/>
      <c r="T139" s="60"/>
      <c r="U139" s="59"/>
      <c r="V139" s="60"/>
    </row>
    <row r="140" spans="3:22" x14ac:dyDescent="0.25">
      <c r="C140" s="50"/>
      <c r="D140" s="58"/>
      <c r="E140" s="58"/>
      <c r="F140" s="58"/>
      <c r="G140" s="58"/>
      <c r="H140" s="58"/>
      <c r="I140" s="58"/>
      <c r="J140" s="58"/>
      <c r="K140" s="58"/>
      <c r="L140" s="50"/>
      <c r="M140" s="58"/>
      <c r="N140" s="58"/>
      <c r="O140" s="58"/>
      <c r="P140" s="58"/>
      <c r="Q140" s="58"/>
      <c r="S140" s="59"/>
      <c r="T140" s="60"/>
      <c r="U140" s="59"/>
      <c r="V140" s="60"/>
    </row>
    <row r="141" spans="3:22" x14ac:dyDescent="0.25">
      <c r="C141" s="50"/>
      <c r="D141" s="58"/>
      <c r="E141" s="58"/>
      <c r="F141" s="58"/>
      <c r="G141" s="58"/>
      <c r="H141" s="58"/>
      <c r="I141" s="58"/>
      <c r="J141" s="58"/>
      <c r="K141" s="58"/>
      <c r="L141" s="50"/>
      <c r="M141" s="58"/>
      <c r="N141" s="58"/>
      <c r="O141" s="58"/>
      <c r="P141" s="58"/>
      <c r="Q141" s="58"/>
      <c r="S141" s="59"/>
      <c r="T141" s="60"/>
      <c r="U141" s="59"/>
      <c r="V141" s="60"/>
    </row>
    <row r="142" spans="3:22" x14ac:dyDescent="0.25">
      <c r="C142" s="50"/>
      <c r="D142" s="58"/>
      <c r="E142" s="58"/>
      <c r="F142" s="58"/>
      <c r="G142" s="58"/>
      <c r="H142" s="58"/>
      <c r="I142" s="58"/>
      <c r="J142" s="58"/>
      <c r="K142" s="58"/>
      <c r="L142" s="50"/>
      <c r="M142" s="58"/>
      <c r="N142" s="58"/>
      <c r="O142" s="58"/>
      <c r="P142" s="58"/>
      <c r="Q142" s="58"/>
      <c r="S142" s="59"/>
      <c r="T142" s="60"/>
      <c r="U142" s="59"/>
      <c r="V142" s="60"/>
    </row>
    <row r="143" spans="3:22" x14ac:dyDescent="0.25">
      <c r="C143" s="50"/>
      <c r="D143" s="58"/>
      <c r="E143" s="58"/>
      <c r="F143" s="58"/>
      <c r="G143" s="58"/>
      <c r="H143" s="58"/>
      <c r="I143" s="58"/>
      <c r="J143" s="58"/>
      <c r="K143" s="58"/>
      <c r="L143" s="50"/>
      <c r="M143" s="58"/>
      <c r="N143" s="58"/>
      <c r="O143" s="58"/>
      <c r="P143" s="58"/>
      <c r="Q143" s="58"/>
      <c r="S143" s="59"/>
      <c r="T143" s="60"/>
      <c r="U143" s="59"/>
      <c r="V143" s="60"/>
    </row>
    <row r="144" spans="3:22" x14ac:dyDescent="0.25">
      <c r="C144" s="50"/>
      <c r="D144" s="58"/>
      <c r="E144" s="58"/>
      <c r="F144" s="58"/>
      <c r="G144" s="58"/>
      <c r="H144" s="58"/>
      <c r="I144" s="58"/>
      <c r="J144" s="58"/>
      <c r="K144" s="58"/>
      <c r="L144" s="50"/>
      <c r="M144" s="58"/>
      <c r="N144" s="58"/>
      <c r="O144" s="58"/>
      <c r="P144" s="58"/>
      <c r="Q144" s="58"/>
      <c r="S144" s="59"/>
      <c r="T144" s="60"/>
      <c r="U144" s="59"/>
      <c r="V144" s="60"/>
    </row>
    <row r="145" spans="3:22" x14ac:dyDescent="0.25">
      <c r="C145" s="50"/>
      <c r="D145" s="58"/>
      <c r="E145" s="58"/>
      <c r="F145" s="58"/>
      <c r="G145" s="58"/>
      <c r="H145" s="58"/>
      <c r="I145" s="58"/>
      <c r="J145" s="58"/>
      <c r="K145" s="58"/>
      <c r="L145" s="50"/>
      <c r="M145" s="58"/>
      <c r="N145" s="58"/>
      <c r="O145" s="58"/>
      <c r="P145" s="58"/>
      <c r="Q145" s="58"/>
      <c r="S145" s="59"/>
      <c r="T145" s="60"/>
      <c r="U145" s="59"/>
      <c r="V145" s="60"/>
    </row>
    <row r="146" spans="3:22" x14ac:dyDescent="0.25">
      <c r="C146" s="50"/>
      <c r="D146" s="58"/>
      <c r="E146" s="58"/>
      <c r="F146" s="58"/>
      <c r="G146" s="58"/>
      <c r="H146" s="58"/>
      <c r="I146" s="58"/>
      <c r="J146" s="58"/>
      <c r="K146" s="58"/>
      <c r="L146" s="50"/>
      <c r="M146" s="58"/>
      <c r="N146" s="58"/>
      <c r="O146" s="58"/>
      <c r="P146" s="58"/>
      <c r="Q146" s="58"/>
      <c r="S146" s="59"/>
      <c r="T146" s="60"/>
      <c r="U146" s="59"/>
      <c r="V146" s="60"/>
    </row>
    <row r="147" spans="3:22" x14ac:dyDescent="0.25">
      <c r="C147" s="50"/>
      <c r="D147" s="58"/>
      <c r="E147" s="58"/>
      <c r="F147" s="58"/>
      <c r="G147" s="58"/>
      <c r="H147" s="58"/>
      <c r="I147" s="58"/>
      <c r="J147" s="58"/>
      <c r="K147" s="58"/>
      <c r="L147" s="50"/>
      <c r="M147" s="58"/>
      <c r="N147" s="58"/>
      <c r="O147" s="58"/>
      <c r="P147" s="58"/>
      <c r="Q147" s="58"/>
      <c r="S147" s="59"/>
      <c r="T147" s="60"/>
      <c r="U147" s="59"/>
      <c r="V147" s="60"/>
    </row>
    <row r="148" spans="3:22" x14ac:dyDescent="0.25">
      <c r="C148" s="50"/>
      <c r="D148" s="58"/>
      <c r="E148" s="58"/>
      <c r="F148" s="58"/>
      <c r="G148" s="58"/>
      <c r="H148" s="58"/>
      <c r="I148" s="58"/>
      <c r="J148" s="58"/>
      <c r="K148" s="58"/>
      <c r="L148" s="50"/>
      <c r="M148" s="58"/>
      <c r="N148" s="58"/>
      <c r="O148" s="58"/>
      <c r="P148" s="58"/>
      <c r="Q148" s="58"/>
      <c r="S148" s="59"/>
      <c r="T148" s="60"/>
      <c r="U148" s="59"/>
      <c r="V148" s="60"/>
    </row>
    <row r="149" spans="3:22" x14ac:dyDescent="0.25">
      <c r="C149" s="50"/>
      <c r="D149" s="58"/>
      <c r="E149" s="58"/>
      <c r="F149" s="58"/>
      <c r="G149" s="58"/>
      <c r="H149" s="58"/>
      <c r="I149" s="58"/>
      <c r="J149" s="58"/>
      <c r="K149" s="58"/>
      <c r="L149" s="50"/>
      <c r="M149" s="58"/>
      <c r="N149" s="58"/>
      <c r="O149" s="58"/>
      <c r="P149" s="58"/>
      <c r="Q149" s="58"/>
      <c r="S149" s="59"/>
      <c r="T149" s="60"/>
      <c r="U149" s="59"/>
      <c r="V149" s="60"/>
    </row>
    <row r="150" spans="3:22" x14ac:dyDescent="0.25">
      <c r="C150" s="50"/>
      <c r="D150" s="58"/>
      <c r="E150" s="58"/>
      <c r="F150" s="58"/>
      <c r="G150" s="58"/>
      <c r="H150" s="58"/>
      <c r="I150" s="58"/>
      <c r="J150" s="58"/>
      <c r="K150" s="58"/>
      <c r="L150" s="50"/>
      <c r="M150" s="58"/>
      <c r="N150" s="58"/>
      <c r="O150" s="58"/>
      <c r="P150" s="58"/>
      <c r="Q150" s="58"/>
      <c r="S150" s="59"/>
      <c r="T150" s="60"/>
      <c r="U150" s="59"/>
      <c r="V150" s="60"/>
    </row>
    <row r="151" spans="3:22" x14ac:dyDescent="0.25">
      <c r="C151" s="50"/>
      <c r="D151" s="58"/>
      <c r="E151" s="58"/>
      <c r="F151" s="58"/>
      <c r="G151" s="58"/>
      <c r="H151" s="58"/>
      <c r="I151" s="58"/>
      <c r="J151" s="58"/>
      <c r="K151" s="58"/>
      <c r="L151" s="50"/>
      <c r="M151" s="58"/>
      <c r="N151" s="58"/>
      <c r="O151" s="58"/>
      <c r="P151" s="58"/>
      <c r="Q151" s="58"/>
      <c r="S151" s="59"/>
      <c r="T151" s="60"/>
      <c r="U151" s="59"/>
      <c r="V151" s="60"/>
    </row>
    <row r="152" spans="3:22" x14ac:dyDescent="0.25">
      <c r="C152" s="50"/>
      <c r="D152" s="58"/>
      <c r="E152" s="58"/>
      <c r="F152" s="58"/>
      <c r="G152" s="58"/>
      <c r="H152" s="58"/>
      <c r="I152" s="58"/>
      <c r="J152" s="58"/>
      <c r="K152" s="58"/>
      <c r="L152" s="50"/>
      <c r="M152" s="58"/>
      <c r="N152" s="58"/>
      <c r="O152" s="58"/>
      <c r="P152" s="58"/>
      <c r="Q152" s="58"/>
      <c r="S152" s="59"/>
      <c r="T152" s="60"/>
      <c r="U152" s="59"/>
      <c r="V152" s="60"/>
    </row>
    <row r="153" spans="3:22" x14ac:dyDescent="0.25">
      <c r="C153" s="50"/>
      <c r="D153" s="58"/>
      <c r="E153" s="58"/>
      <c r="F153" s="58"/>
      <c r="G153" s="58"/>
      <c r="H153" s="58"/>
      <c r="I153" s="58"/>
      <c r="J153" s="58"/>
      <c r="K153" s="58"/>
      <c r="L153" s="50"/>
      <c r="M153" s="58"/>
      <c r="N153" s="58"/>
      <c r="O153" s="58"/>
      <c r="P153" s="58"/>
      <c r="Q153" s="58"/>
      <c r="S153" s="59"/>
      <c r="T153" s="60"/>
      <c r="U153" s="59"/>
      <c r="V153" s="60"/>
    </row>
    <row r="154" spans="3:22" x14ac:dyDescent="0.25">
      <c r="C154" s="50"/>
      <c r="D154" s="58"/>
      <c r="E154" s="58"/>
      <c r="F154" s="58"/>
      <c r="G154" s="58"/>
      <c r="H154" s="58"/>
      <c r="I154" s="58"/>
      <c r="J154" s="58"/>
      <c r="K154" s="58"/>
      <c r="L154" s="50"/>
      <c r="M154" s="58"/>
      <c r="N154" s="58"/>
      <c r="O154" s="58"/>
      <c r="P154" s="58"/>
      <c r="Q154" s="58"/>
      <c r="S154" s="59"/>
      <c r="T154" s="60"/>
      <c r="U154" s="59"/>
      <c r="V154" s="60"/>
    </row>
    <row r="155" spans="3:22" x14ac:dyDescent="0.25">
      <c r="C155" s="50"/>
      <c r="D155" s="58"/>
      <c r="E155" s="58"/>
      <c r="F155" s="58"/>
      <c r="G155" s="58"/>
      <c r="H155" s="58"/>
      <c r="I155" s="58"/>
      <c r="J155" s="58"/>
      <c r="K155" s="58"/>
      <c r="L155" s="50"/>
      <c r="M155" s="58"/>
      <c r="N155" s="58"/>
      <c r="O155" s="58"/>
      <c r="P155" s="58"/>
      <c r="Q155" s="58"/>
      <c r="S155" s="59"/>
      <c r="T155" s="60"/>
      <c r="U155" s="59"/>
      <c r="V155" s="60"/>
    </row>
    <row r="156" spans="3:22" x14ac:dyDescent="0.25">
      <c r="C156" s="50"/>
      <c r="D156" s="58"/>
      <c r="E156" s="58"/>
      <c r="F156" s="58"/>
      <c r="G156" s="58"/>
      <c r="H156" s="58"/>
      <c r="I156" s="58"/>
      <c r="J156" s="58"/>
      <c r="K156" s="58"/>
      <c r="L156" s="50"/>
      <c r="M156" s="58"/>
      <c r="N156" s="58"/>
      <c r="O156" s="58"/>
      <c r="P156" s="58"/>
      <c r="Q156" s="58"/>
      <c r="S156" s="59"/>
      <c r="T156" s="60"/>
      <c r="U156" s="59"/>
      <c r="V156" s="60"/>
    </row>
    <row r="157" spans="3:22" x14ac:dyDescent="0.25">
      <c r="C157" s="50"/>
      <c r="D157" s="58"/>
      <c r="E157" s="58"/>
      <c r="F157" s="58"/>
      <c r="G157" s="58"/>
      <c r="H157" s="58"/>
      <c r="I157" s="58"/>
      <c r="J157" s="58"/>
      <c r="K157" s="58"/>
      <c r="L157" s="50"/>
      <c r="M157" s="58"/>
      <c r="N157" s="58"/>
      <c r="O157" s="58"/>
      <c r="P157" s="58"/>
      <c r="Q157" s="58"/>
      <c r="S157" s="59"/>
      <c r="T157" s="60"/>
      <c r="U157" s="59"/>
      <c r="V157" s="60"/>
    </row>
    <row r="158" spans="3:22" x14ac:dyDescent="0.25">
      <c r="C158" s="50"/>
      <c r="D158" s="58"/>
      <c r="E158" s="58"/>
      <c r="F158" s="58"/>
      <c r="G158" s="58"/>
      <c r="H158" s="58"/>
      <c r="I158" s="58"/>
      <c r="J158" s="58"/>
      <c r="K158" s="58"/>
      <c r="L158" s="50"/>
      <c r="M158" s="58"/>
      <c r="N158" s="58"/>
      <c r="O158" s="58"/>
      <c r="P158" s="58"/>
      <c r="Q158" s="58"/>
      <c r="S158" s="59"/>
      <c r="T158" s="60"/>
      <c r="U158" s="59"/>
      <c r="V158" s="60"/>
    </row>
    <row r="159" spans="3:22" x14ac:dyDescent="0.25">
      <c r="C159" s="50"/>
      <c r="D159" s="58"/>
      <c r="E159" s="58"/>
      <c r="F159" s="58"/>
      <c r="G159" s="58"/>
      <c r="H159" s="58"/>
      <c r="I159" s="58"/>
      <c r="J159" s="58"/>
      <c r="K159" s="58"/>
      <c r="L159" s="50"/>
      <c r="M159" s="58"/>
      <c r="N159" s="58"/>
      <c r="O159" s="58"/>
      <c r="P159" s="58"/>
      <c r="Q159" s="58"/>
      <c r="S159" s="59"/>
      <c r="T159" s="60"/>
      <c r="U159" s="59"/>
      <c r="V159" s="60"/>
    </row>
    <row r="160" spans="3:22" x14ac:dyDescent="0.25">
      <c r="C160" s="50"/>
      <c r="D160" s="58"/>
      <c r="E160" s="58"/>
      <c r="F160" s="58"/>
      <c r="G160" s="58"/>
      <c r="H160" s="58"/>
      <c r="I160" s="58"/>
      <c r="J160" s="58"/>
      <c r="K160" s="58"/>
      <c r="L160" s="50"/>
      <c r="M160" s="58"/>
      <c r="N160" s="58"/>
      <c r="O160" s="58"/>
      <c r="P160" s="58"/>
      <c r="Q160" s="58"/>
      <c r="S160" s="59"/>
      <c r="T160" s="60"/>
      <c r="U160" s="59"/>
      <c r="V160" s="60"/>
    </row>
    <row r="161" spans="3:22" x14ac:dyDescent="0.25">
      <c r="C161" s="50"/>
      <c r="D161" s="58"/>
      <c r="E161" s="58"/>
      <c r="F161" s="58"/>
      <c r="G161" s="58"/>
      <c r="H161" s="58"/>
      <c r="I161" s="58"/>
      <c r="J161" s="58"/>
      <c r="K161" s="58"/>
      <c r="L161" s="50"/>
      <c r="M161" s="58"/>
      <c r="N161" s="58"/>
      <c r="O161" s="58"/>
      <c r="P161" s="58"/>
      <c r="Q161" s="58"/>
      <c r="S161" s="59"/>
      <c r="T161" s="60"/>
      <c r="U161" s="59"/>
      <c r="V161" s="60"/>
    </row>
    <row r="162" spans="3:22" x14ac:dyDescent="0.25">
      <c r="C162" s="50"/>
      <c r="D162" s="58"/>
      <c r="E162" s="58"/>
      <c r="F162" s="58"/>
      <c r="G162" s="58"/>
      <c r="H162" s="58"/>
      <c r="I162" s="58"/>
      <c r="J162" s="58"/>
      <c r="K162" s="58"/>
      <c r="L162" s="50"/>
      <c r="M162" s="58"/>
      <c r="N162" s="58"/>
      <c r="O162" s="58"/>
      <c r="P162" s="58"/>
      <c r="Q162" s="58"/>
      <c r="S162" s="59"/>
      <c r="T162" s="60"/>
      <c r="U162" s="59"/>
      <c r="V162" s="60"/>
    </row>
    <row r="163" spans="3:22" x14ac:dyDescent="0.25">
      <c r="C163" s="50"/>
      <c r="D163" s="58"/>
      <c r="E163" s="58"/>
      <c r="F163" s="58"/>
      <c r="G163" s="58"/>
      <c r="H163" s="58"/>
      <c r="I163" s="58"/>
      <c r="J163" s="58"/>
      <c r="K163" s="58"/>
      <c r="L163" s="50"/>
      <c r="M163" s="58"/>
      <c r="N163" s="58"/>
      <c r="O163" s="58"/>
      <c r="P163" s="58"/>
      <c r="Q163" s="58"/>
      <c r="S163" s="59"/>
      <c r="T163" s="60"/>
      <c r="U163" s="59"/>
      <c r="V163" s="60"/>
    </row>
    <row r="164" spans="3:22" x14ac:dyDescent="0.25">
      <c r="C164" s="50"/>
      <c r="D164" s="58"/>
      <c r="E164" s="58"/>
      <c r="F164" s="58"/>
      <c r="G164" s="58"/>
      <c r="H164" s="58"/>
      <c r="I164" s="58"/>
      <c r="J164" s="58"/>
      <c r="K164" s="58"/>
      <c r="L164" s="50"/>
      <c r="M164" s="58"/>
      <c r="N164" s="58"/>
      <c r="O164" s="58"/>
      <c r="P164" s="58"/>
      <c r="Q164" s="58"/>
      <c r="S164" s="59"/>
      <c r="T164" s="60"/>
      <c r="U164" s="59"/>
      <c r="V164" s="60"/>
    </row>
    <row r="165" spans="3:22" x14ac:dyDescent="0.25">
      <c r="C165" s="50"/>
      <c r="D165" s="58"/>
      <c r="E165" s="58"/>
      <c r="F165" s="58"/>
      <c r="G165" s="58"/>
      <c r="H165" s="58"/>
      <c r="I165" s="58"/>
      <c r="J165" s="58"/>
      <c r="K165" s="58"/>
      <c r="L165" s="50"/>
      <c r="M165" s="58"/>
      <c r="N165" s="58"/>
      <c r="O165" s="58"/>
      <c r="P165" s="58"/>
      <c r="Q165" s="58"/>
      <c r="S165" s="59"/>
      <c r="T165" s="60"/>
      <c r="U165" s="59"/>
      <c r="V165" s="60"/>
    </row>
    <row r="166" spans="3:22" x14ac:dyDescent="0.25">
      <c r="C166" s="50"/>
      <c r="D166" s="58"/>
      <c r="E166" s="58"/>
      <c r="F166" s="58"/>
      <c r="G166" s="58"/>
      <c r="H166" s="58"/>
      <c r="I166" s="58"/>
      <c r="J166" s="58"/>
      <c r="K166" s="58"/>
      <c r="L166" s="50"/>
      <c r="M166" s="58"/>
      <c r="N166" s="58"/>
      <c r="O166" s="58"/>
      <c r="P166" s="58"/>
      <c r="Q166" s="58"/>
      <c r="S166" s="59"/>
      <c r="T166" s="60"/>
      <c r="U166" s="59"/>
      <c r="V166" s="60"/>
    </row>
    <row r="167" spans="3:22" x14ac:dyDescent="0.25">
      <c r="C167" s="50"/>
      <c r="D167" s="58"/>
      <c r="E167" s="58"/>
      <c r="F167" s="58"/>
      <c r="G167" s="58"/>
      <c r="H167" s="58"/>
      <c r="I167" s="58"/>
      <c r="J167" s="58"/>
      <c r="K167" s="58"/>
      <c r="L167" s="50"/>
      <c r="M167" s="58"/>
      <c r="N167" s="58"/>
      <c r="O167" s="58"/>
      <c r="P167" s="58"/>
      <c r="Q167" s="58"/>
      <c r="S167" s="59"/>
      <c r="T167" s="60"/>
      <c r="U167" s="59"/>
      <c r="V167" s="60"/>
    </row>
    <row r="168" spans="3:22" x14ac:dyDescent="0.25">
      <c r="C168" s="50"/>
      <c r="D168" s="58"/>
      <c r="E168" s="58"/>
      <c r="F168" s="58"/>
      <c r="G168" s="58"/>
      <c r="H168" s="58"/>
      <c r="I168" s="58"/>
      <c r="J168" s="58"/>
      <c r="K168" s="58"/>
      <c r="L168" s="50"/>
      <c r="M168" s="58"/>
      <c r="N168" s="58"/>
      <c r="O168" s="58"/>
      <c r="P168" s="58"/>
      <c r="Q168" s="58"/>
      <c r="S168" s="59"/>
      <c r="T168" s="60"/>
      <c r="U168" s="59"/>
      <c r="V168" s="60"/>
    </row>
    <row r="169" spans="3:22" x14ac:dyDescent="0.25">
      <c r="C169" s="50"/>
      <c r="D169" s="58"/>
      <c r="E169" s="58"/>
      <c r="F169" s="58"/>
      <c r="G169" s="58"/>
      <c r="H169" s="58"/>
      <c r="I169" s="58"/>
      <c r="J169" s="58"/>
      <c r="K169" s="58"/>
      <c r="L169" s="50"/>
      <c r="M169" s="58"/>
      <c r="N169" s="58"/>
      <c r="O169" s="58"/>
      <c r="P169" s="58"/>
      <c r="Q169" s="58"/>
      <c r="S169" s="59"/>
      <c r="T169" s="60"/>
      <c r="U169" s="59"/>
      <c r="V169" s="60"/>
    </row>
    <row r="170" spans="3:22" x14ac:dyDescent="0.25">
      <c r="C170" s="50"/>
      <c r="D170" s="58"/>
      <c r="E170" s="58"/>
      <c r="F170" s="58"/>
      <c r="G170" s="58"/>
      <c r="H170" s="58"/>
      <c r="I170" s="58"/>
      <c r="J170" s="58"/>
      <c r="K170" s="58"/>
      <c r="L170" s="50"/>
      <c r="M170" s="58"/>
      <c r="N170" s="58"/>
      <c r="O170" s="58"/>
      <c r="P170" s="58"/>
      <c r="Q170" s="58"/>
      <c r="S170" s="59"/>
      <c r="T170" s="60"/>
      <c r="U170" s="59"/>
      <c r="V170" s="60"/>
    </row>
    <row r="171" spans="3:22" x14ac:dyDescent="0.25">
      <c r="C171" s="50"/>
      <c r="D171" s="58"/>
      <c r="E171" s="58"/>
      <c r="F171" s="58"/>
      <c r="G171" s="58"/>
      <c r="H171" s="58"/>
      <c r="I171" s="58"/>
      <c r="J171" s="58"/>
      <c r="K171" s="58"/>
      <c r="L171" s="50"/>
      <c r="M171" s="58"/>
      <c r="N171" s="58"/>
      <c r="O171" s="58"/>
      <c r="P171" s="58"/>
      <c r="Q171" s="58"/>
      <c r="S171" s="59"/>
      <c r="T171" s="60"/>
      <c r="U171" s="59"/>
      <c r="V171" s="60"/>
    </row>
    <row r="172" spans="3:22" x14ac:dyDescent="0.25">
      <c r="C172" s="50"/>
      <c r="D172" s="58"/>
      <c r="E172" s="58"/>
      <c r="F172" s="58"/>
      <c r="G172" s="58"/>
      <c r="H172" s="58"/>
      <c r="I172" s="58"/>
      <c r="J172" s="58"/>
      <c r="K172" s="58"/>
      <c r="L172" s="50"/>
      <c r="M172" s="58"/>
      <c r="N172" s="58"/>
      <c r="O172" s="58"/>
      <c r="P172" s="58"/>
      <c r="Q172" s="58"/>
      <c r="S172" s="59"/>
      <c r="T172" s="60"/>
      <c r="U172" s="59"/>
      <c r="V172" s="60"/>
    </row>
    <row r="173" spans="3:22" x14ac:dyDescent="0.25">
      <c r="F173" s="58"/>
      <c r="M173" s="58"/>
      <c r="N173" s="58"/>
      <c r="O173" s="58"/>
      <c r="P173" s="58"/>
      <c r="Q173" s="58"/>
    </row>
    <row r="174" spans="3:22" x14ac:dyDescent="0.25">
      <c r="F174" s="58"/>
      <c r="M174" s="58"/>
      <c r="N174" s="58"/>
      <c r="O174" s="58"/>
      <c r="P174" s="58"/>
      <c r="Q174" s="58"/>
    </row>
    <row r="175" spans="3:22" x14ac:dyDescent="0.25">
      <c r="F175" s="58"/>
      <c r="M175" s="58"/>
      <c r="N175" s="58"/>
      <c r="O175" s="58"/>
      <c r="P175" s="58"/>
      <c r="Q175" s="58"/>
    </row>
    <row r="176" spans="3:22" x14ac:dyDescent="0.25">
      <c r="F176" s="58"/>
      <c r="M176" s="58"/>
      <c r="N176" s="58"/>
      <c r="O176" s="58"/>
      <c r="P176" s="58"/>
      <c r="Q176" s="58"/>
    </row>
    <row r="177" spans="6:17" x14ac:dyDescent="0.25">
      <c r="F177" s="58"/>
      <c r="M177" s="58"/>
      <c r="N177" s="58"/>
      <c r="O177" s="58"/>
      <c r="P177" s="58"/>
      <c r="Q177" s="58"/>
    </row>
    <row r="178" spans="6:17" x14ac:dyDescent="0.25">
      <c r="F178" s="58"/>
      <c r="M178" s="58"/>
      <c r="N178" s="58"/>
      <c r="O178" s="58"/>
      <c r="P178" s="58"/>
      <c r="Q178" s="58"/>
    </row>
    <row r="179" spans="6:17" x14ac:dyDescent="0.25">
      <c r="F179" s="58"/>
      <c r="M179" s="58"/>
      <c r="N179" s="58"/>
      <c r="O179" s="58"/>
      <c r="P179" s="58"/>
      <c r="Q179" s="58"/>
    </row>
    <row r="180" spans="6:17" x14ac:dyDescent="0.25">
      <c r="F180" s="58"/>
      <c r="M180" s="58"/>
      <c r="N180" s="58"/>
      <c r="O180" s="58"/>
      <c r="P180" s="58"/>
      <c r="Q180" s="58"/>
    </row>
    <row r="181" spans="6:17" x14ac:dyDescent="0.25">
      <c r="F181" s="58"/>
      <c r="M181" s="58"/>
      <c r="N181" s="58"/>
      <c r="O181" s="58"/>
      <c r="P181" s="58"/>
      <c r="Q181" s="58"/>
    </row>
    <row r="182" spans="6:17" x14ac:dyDescent="0.25">
      <c r="F182" s="58"/>
      <c r="M182" s="58"/>
      <c r="N182" s="58"/>
      <c r="O182" s="58"/>
      <c r="P182" s="58"/>
      <c r="Q182" s="58"/>
    </row>
    <row r="183" spans="6:17" x14ac:dyDescent="0.25">
      <c r="F183" s="58"/>
      <c r="M183" s="58"/>
      <c r="N183" s="58"/>
      <c r="O183" s="58"/>
      <c r="P183" s="58"/>
      <c r="Q183" s="58"/>
    </row>
    <row r="184" spans="6:17" x14ac:dyDescent="0.25">
      <c r="F184" s="58"/>
      <c r="M184" s="58"/>
      <c r="N184" s="58"/>
      <c r="O184" s="58"/>
      <c r="P184" s="58"/>
      <c r="Q184" s="58"/>
    </row>
    <row r="185" spans="6:17" x14ac:dyDescent="0.25">
      <c r="F185" s="58"/>
      <c r="M185" s="58"/>
      <c r="N185" s="58"/>
      <c r="O185" s="58"/>
      <c r="P185" s="58"/>
      <c r="Q185" s="58"/>
    </row>
    <row r="186" spans="6:17" x14ac:dyDescent="0.25">
      <c r="F186" s="58"/>
      <c r="M186" s="58"/>
      <c r="N186" s="58"/>
      <c r="O186" s="58"/>
      <c r="P186" s="58"/>
      <c r="Q186" s="58"/>
    </row>
    <row r="187" spans="6:17" x14ac:dyDescent="0.25">
      <c r="F187" s="58"/>
      <c r="M187" s="58"/>
      <c r="N187" s="58"/>
      <c r="O187" s="58"/>
      <c r="P187" s="58"/>
      <c r="Q187" s="58"/>
    </row>
    <row r="188" spans="6:17" x14ac:dyDescent="0.25">
      <c r="F188" s="58"/>
      <c r="M188" s="58"/>
      <c r="N188" s="58"/>
      <c r="O188" s="58"/>
      <c r="P188" s="58"/>
      <c r="Q188" s="58"/>
    </row>
    <row r="189" spans="6:17" x14ac:dyDescent="0.25">
      <c r="F189" s="58"/>
      <c r="M189" s="58"/>
      <c r="N189" s="58"/>
      <c r="O189" s="58"/>
      <c r="P189" s="58"/>
      <c r="Q189" s="58"/>
    </row>
    <row r="190" spans="6:17" x14ac:dyDescent="0.25">
      <c r="F190" s="58"/>
      <c r="M190" s="58"/>
      <c r="N190" s="58"/>
      <c r="O190" s="58"/>
      <c r="P190" s="58"/>
      <c r="Q190" s="58"/>
    </row>
    <row r="191" spans="6:17" x14ac:dyDescent="0.25">
      <c r="F191" s="58"/>
      <c r="M191" s="58"/>
      <c r="N191" s="58"/>
      <c r="O191" s="58"/>
      <c r="P191" s="58"/>
      <c r="Q191" s="58"/>
    </row>
    <row r="192" spans="6:17" x14ac:dyDescent="0.25">
      <c r="F192" s="58"/>
      <c r="M192" s="58"/>
      <c r="N192" s="58"/>
      <c r="O192" s="58"/>
      <c r="P192" s="58"/>
      <c r="Q192" s="58"/>
    </row>
    <row r="193" spans="6:17" x14ac:dyDescent="0.25">
      <c r="F193" s="58"/>
      <c r="M193" s="58"/>
      <c r="N193" s="58"/>
      <c r="O193" s="58"/>
      <c r="P193" s="58"/>
      <c r="Q193" s="58"/>
    </row>
    <row r="194" spans="6:17" x14ac:dyDescent="0.25">
      <c r="F194" s="58"/>
      <c r="M194" s="58"/>
      <c r="N194" s="58"/>
      <c r="O194" s="58"/>
      <c r="P194" s="58"/>
      <c r="Q194" s="58"/>
    </row>
    <row r="195" spans="6:17" x14ac:dyDescent="0.25">
      <c r="F195" s="58"/>
      <c r="M195" s="58"/>
      <c r="N195" s="58"/>
      <c r="O195" s="58"/>
      <c r="P195" s="58"/>
      <c r="Q195" s="58"/>
    </row>
    <row r="196" spans="6:17" x14ac:dyDescent="0.25">
      <c r="F196" s="58"/>
      <c r="M196" s="58"/>
      <c r="N196" s="58"/>
      <c r="O196" s="58"/>
      <c r="P196" s="58"/>
      <c r="Q196" s="58"/>
    </row>
    <row r="197" spans="6:17" x14ac:dyDescent="0.25">
      <c r="F197" s="58"/>
      <c r="M197" s="58"/>
      <c r="N197" s="58"/>
      <c r="O197" s="58"/>
      <c r="P197" s="58"/>
      <c r="Q197" s="58"/>
    </row>
    <row r="198" spans="6:17" x14ac:dyDescent="0.25">
      <c r="F198" s="58"/>
      <c r="M198" s="58"/>
      <c r="N198" s="58"/>
      <c r="O198" s="58"/>
      <c r="P198" s="58"/>
      <c r="Q198" s="58"/>
    </row>
    <row r="199" spans="6:17" x14ac:dyDescent="0.25">
      <c r="F199" s="58"/>
      <c r="M199" s="58"/>
      <c r="N199" s="58"/>
      <c r="O199" s="58"/>
      <c r="P199" s="58"/>
      <c r="Q199" s="58"/>
    </row>
    <row r="200" spans="6:17" x14ac:dyDescent="0.25">
      <c r="F200" s="58"/>
      <c r="M200" s="58"/>
      <c r="N200" s="58"/>
      <c r="O200" s="58"/>
      <c r="P200" s="58"/>
      <c r="Q200" s="58"/>
    </row>
    <row r="201" spans="6:17" x14ac:dyDescent="0.25">
      <c r="F201" s="58"/>
      <c r="M201" s="58"/>
      <c r="N201" s="58"/>
      <c r="O201" s="58"/>
      <c r="P201" s="58"/>
      <c r="Q201" s="58"/>
    </row>
    <row r="202" spans="6:17" x14ac:dyDescent="0.25">
      <c r="F202" s="58"/>
      <c r="M202" s="58"/>
      <c r="N202" s="58"/>
      <c r="O202" s="58"/>
      <c r="P202" s="58"/>
      <c r="Q202" s="58"/>
    </row>
    <row r="203" spans="6:17" x14ac:dyDescent="0.25">
      <c r="F203" s="58"/>
      <c r="M203" s="58"/>
      <c r="N203" s="58"/>
      <c r="O203" s="58"/>
      <c r="P203" s="58"/>
      <c r="Q203" s="58"/>
    </row>
    <row r="204" spans="6:17" x14ac:dyDescent="0.25">
      <c r="F204" s="58"/>
      <c r="M204" s="58"/>
      <c r="N204" s="58"/>
      <c r="O204" s="58"/>
      <c r="P204" s="58"/>
      <c r="Q204" s="58"/>
    </row>
    <row r="205" spans="6:17" x14ac:dyDescent="0.25">
      <c r="F205" s="58"/>
      <c r="M205" s="58"/>
      <c r="N205" s="58"/>
      <c r="O205" s="58"/>
      <c r="P205" s="58"/>
      <c r="Q205" s="58"/>
    </row>
    <row r="206" spans="6:17" x14ac:dyDescent="0.25">
      <c r="F206" s="58"/>
      <c r="M206" s="58"/>
      <c r="N206" s="58"/>
      <c r="O206" s="58"/>
      <c r="P206" s="58"/>
      <c r="Q206" s="58"/>
    </row>
    <row r="207" spans="6:17" x14ac:dyDescent="0.25">
      <c r="F207" s="58"/>
      <c r="M207" s="58"/>
      <c r="N207" s="58"/>
      <c r="O207" s="58"/>
      <c r="P207" s="58"/>
      <c r="Q207" s="58"/>
    </row>
    <row r="208" spans="6:17" x14ac:dyDescent="0.25">
      <c r="F208" s="58"/>
      <c r="M208" s="58"/>
      <c r="N208" s="58"/>
      <c r="O208" s="58"/>
      <c r="P208" s="58"/>
      <c r="Q208" s="58"/>
    </row>
    <row r="209" spans="6:17" x14ac:dyDescent="0.25">
      <c r="F209" s="58"/>
      <c r="M209" s="58"/>
      <c r="N209" s="58"/>
      <c r="O209" s="58"/>
      <c r="P209" s="58"/>
      <c r="Q209" s="58"/>
    </row>
    <row r="210" spans="6:17" x14ac:dyDescent="0.25">
      <c r="F210" s="58"/>
      <c r="M210" s="58"/>
      <c r="N210" s="58"/>
      <c r="O210" s="58"/>
      <c r="P210" s="58"/>
      <c r="Q210" s="58"/>
    </row>
    <row r="211" spans="6:17" x14ac:dyDescent="0.25">
      <c r="F211" s="58"/>
      <c r="M211" s="58"/>
      <c r="N211" s="58"/>
      <c r="O211" s="58"/>
      <c r="P211" s="58"/>
      <c r="Q211" s="58"/>
    </row>
    <row r="212" spans="6:17" x14ac:dyDescent="0.25">
      <c r="F212" s="58"/>
      <c r="M212" s="58"/>
      <c r="N212" s="58"/>
      <c r="O212" s="58"/>
      <c r="P212" s="58"/>
      <c r="Q212" s="58"/>
    </row>
    <row r="213" spans="6:17" x14ac:dyDescent="0.25">
      <c r="F213" s="58"/>
      <c r="M213" s="58"/>
      <c r="N213" s="58"/>
      <c r="O213" s="58"/>
      <c r="P213" s="58"/>
      <c r="Q213" s="58"/>
    </row>
    <row r="214" spans="6:17" x14ac:dyDescent="0.25">
      <c r="F214" s="58"/>
      <c r="M214" s="58"/>
      <c r="N214" s="58"/>
      <c r="O214" s="58"/>
      <c r="P214" s="58"/>
      <c r="Q214" s="58"/>
    </row>
    <row r="215" spans="6:17" x14ac:dyDescent="0.25">
      <c r="F215" s="58"/>
      <c r="M215" s="58"/>
      <c r="N215" s="58"/>
      <c r="O215" s="58"/>
      <c r="P215" s="58"/>
      <c r="Q215" s="58"/>
    </row>
    <row r="216" spans="6:17" x14ac:dyDescent="0.25">
      <c r="F216" s="58"/>
      <c r="M216" s="58"/>
      <c r="N216" s="58"/>
      <c r="O216" s="58"/>
      <c r="P216" s="58"/>
      <c r="Q216" s="58"/>
    </row>
    <row r="217" spans="6:17" x14ac:dyDescent="0.25">
      <c r="F217" s="58"/>
      <c r="M217" s="58"/>
      <c r="N217" s="58"/>
      <c r="O217" s="58"/>
      <c r="P217" s="58"/>
      <c r="Q217" s="58"/>
    </row>
    <row r="218" spans="6:17" x14ac:dyDescent="0.25">
      <c r="F218" s="58"/>
      <c r="M218" s="58"/>
      <c r="N218" s="58"/>
      <c r="O218" s="58"/>
      <c r="P218" s="58"/>
      <c r="Q218" s="58"/>
    </row>
    <row r="219" spans="6:17" x14ac:dyDescent="0.25">
      <c r="F219" s="58"/>
      <c r="M219" s="58"/>
      <c r="N219" s="58"/>
      <c r="O219" s="58"/>
      <c r="P219" s="58"/>
      <c r="Q219" s="58"/>
    </row>
    <row r="220" spans="6:17" x14ac:dyDescent="0.25">
      <c r="F220" s="58"/>
      <c r="M220" s="58"/>
      <c r="N220" s="58"/>
      <c r="O220" s="58"/>
      <c r="P220" s="58"/>
      <c r="Q220" s="58"/>
    </row>
    <row r="221" spans="6:17" x14ac:dyDescent="0.25">
      <c r="F221" s="58"/>
      <c r="M221" s="58"/>
      <c r="N221" s="58"/>
      <c r="O221" s="58"/>
      <c r="P221" s="58"/>
      <c r="Q221" s="58"/>
    </row>
    <row r="222" spans="6:17" x14ac:dyDescent="0.25">
      <c r="F222" s="58"/>
      <c r="M222" s="58"/>
      <c r="N222" s="58"/>
      <c r="O222" s="58"/>
      <c r="P222" s="58"/>
      <c r="Q222" s="58"/>
    </row>
    <row r="223" spans="6:17" x14ac:dyDescent="0.25">
      <c r="F223" s="58"/>
      <c r="M223" s="58"/>
      <c r="N223" s="58"/>
      <c r="O223" s="58"/>
      <c r="P223" s="58"/>
      <c r="Q223" s="58"/>
    </row>
    <row r="224" spans="6:17" x14ac:dyDescent="0.25">
      <c r="F224" s="58"/>
      <c r="M224" s="58"/>
      <c r="N224" s="58"/>
      <c r="O224" s="58"/>
      <c r="P224" s="58"/>
      <c r="Q224" s="58"/>
    </row>
    <row r="225" spans="6:17" x14ac:dyDescent="0.25">
      <c r="F225" s="58"/>
      <c r="M225" s="58"/>
      <c r="N225" s="58"/>
      <c r="O225" s="58"/>
      <c r="P225" s="58"/>
      <c r="Q225" s="58"/>
    </row>
    <row r="226" spans="6:17" x14ac:dyDescent="0.25">
      <c r="F226" s="58"/>
      <c r="M226" s="58"/>
      <c r="N226" s="58"/>
      <c r="O226" s="58"/>
      <c r="P226" s="58"/>
      <c r="Q226" s="58"/>
    </row>
    <row r="227" spans="6:17" x14ac:dyDescent="0.25">
      <c r="F227" s="58"/>
      <c r="M227" s="58"/>
      <c r="N227" s="58"/>
      <c r="O227" s="58"/>
      <c r="P227" s="58"/>
      <c r="Q227" s="58"/>
    </row>
    <row r="228" spans="6:17" x14ac:dyDescent="0.25">
      <c r="F228" s="58"/>
      <c r="M228" s="58"/>
      <c r="N228" s="58"/>
      <c r="O228" s="58"/>
      <c r="P228" s="58"/>
      <c r="Q228" s="58"/>
    </row>
    <row r="229" spans="6:17" x14ac:dyDescent="0.25">
      <c r="F229" s="58"/>
      <c r="M229" s="58"/>
      <c r="N229" s="58"/>
      <c r="O229" s="58"/>
      <c r="P229" s="58"/>
      <c r="Q229" s="58"/>
    </row>
    <row r="230" spans="6:17" x14ac:dyDescent="0.25">
      <c r="F230" s="58"/>
      <c r="M230" s="58"/>
      <c r="N230" s="58"/>
      <c r="O230" s="58"/>
      <c r="P230" s="58"/>
      <c r="Q230" s="58"/>
    </row>
    <row r="231" spans="6:17" x14ac:dyDescent="0.25">
      <c r="F231" s="58"/>
      <c r="M231" s="58"/>
      <c r="N231" s="58"/>
      <c r="O231" s="58"/>
      <c r="P231" s="58"/>
      <c r="Q231" s="58"/>
    </row>
    <row r="232" spans="6:17" x14ac:dyDescent="0.25">
      <c r="F232" s="58"/>
      <c r="M232" s="58"/>
      <c r="N232" s="58"/>
      <c r="O232" s="58"/>
      <c r="P232" s="58"/>
      <c r="Q232" s="58"/>
    </row>
    <row r="233" spans="6:17" x14ac:dyDescent="0.25">
      <c r="F233" s="58"/>
      <c r="M233" s="58"/>
      <c r="N233" s="58"/>
      <c r="O233" s="58"/>
      <c r="P233" s="58"/>
      <c r="Q233" s="58"/>
    </row>
    <row r="234" spans="6:17" x14ac:dyDescent="0.25">
      <c r="F234" s="58"/>
      <c r="M234" s="58"/>
      <c r="N234" s="58"/>
      <c r="O234" s="58"/>
      <c r="P234" s="58"/>
      <c r="Q234" s="58"/>
    </row>
    <row r="235" spans="6:17" x14ac:dyDescent="0.25">
      <c r="F235" s="58"/>
      <c r="M235" s="58"/>
      <c r="N235" s="58"/>
      <c r="O235" s="58"/>
      <c r="P235" s="58"/>
      <c r="Q235" s="58"/>
    </row>
    <row r="236" spans="6:17" x14ac:dyDescent="0.25">
      <c r="F236" s="58"/>
      <c r="M236" s="58"/>
      <c r="N236" s="58"/>
      <c r="O236" s="58"/>
      <c r="P236" s="58"/>
      <c r="Q236" s="58"/>
    </row>
    <row r="237" spans="6:17" x14ac:dyDescent="0.25">
      <c r="F237" s="58"/>
      <c r="M237" s="58"/>
      <c r="N237" s="58"/>
      <c r="O237" s="58"/>
      <c r="P237" s="58"/>
      <c r="Q237" s="58"/>
    </row>
    <row r="238" spans="6:17" x14ac:dyDescent="0.25">
      <c r="F238" s="58"/>
      <c r="M238" s="58"/>
      <c r="N238" s="58"/>
      <c r="O238" s="58"/>
      <c r="P238" s="58"/>
      <c r="Q238" s="58"/>
    </row>
    <row r="239" spans="6:17" x14ac:dyDescent="0.25">
      <c r="F239" s="58"/>
      <c r="M239" s="58"/>
      <c r="N239" s="58"/>
      <c r="O239" s="58"/>
      <c r="P239" s="58"/>
      <c r="Q239" s="58"/>
    </row>
    <row r="240" spans="6:17" x14ac:dyDescent="0.25">
      <c r="F240" s="58"/>
      <c r="M240" s="58"/>
      <c r="N240" s="58"/>
      <c r="O240" s="58"/>
      <c r="P240" s="58"/>
      <c r="Q240" s="58"/>
    </row>
    <row r="241" spans="6:17" x14ac:dyDescent="0.25">
      <c r="F241" s="58"/>
      <c r="M241" s="58"/>
      <c r="N241" s="58"/>
      <c r="O241" s="58"/>
      <c r="P241" s="58"/>
      <c r="Q241" s="58"/>
    </row>
    <row r="242" spans="6:17" x14ac:dyDescent="0.25">
      <c r="F242" s="58"/>
      <c r="M242" s="58"/>
      <c r="N242" s="58"/>
      <c r="O242" s="58"/>
      <c r="P242" s="58"/>
      <c r="Q242" s="58"/>
    </row>
    <row r="243" spans="6:17" x14ac:dyDescent="0.25">
      <c r="F243" s="58"/>
      <c r="M243" s="58"/>
      <c r="N243" s="58"/>
      <c r="O243" s="58"/>
      <c r="P243" s="58"/>
      <c r="Q243" s="58"/>
    </row>
    <row r="244" spans="6:17" x14ac:dyDescent="0.25">
      <c r="F244" s="58"/>
      <c r="M244" s="58"/>
      <c r="N244" s="58"/>
      <c r="O244" s="58"/>
      <c r="P244" s="58"/>
      <c r="Q244" s="58"/>
    </row>
    <row r="245" spans="6:17" x14ac:dyDescent="0.25">
      <c r="F245" s="58"/>
      <c r="M245" s="58"/>
      <c r="N245" s="58"/>
      <c r="O245" s="58"/>
      <c r="P245" s="58"/>
      <c r="Q245" s="58"/>
    </row>
    <row r="246" spans="6:17" x14ac:dyDescent="0.25">
      <c r="F246" s="58"/>
      <c r="M246" s="58"/>
      <c r="N246" s="58"/>
      <c r="O246" s="58"/>
      <c r="P246" s="58"/>
      <c r="Q246" s="58"/>
    </row>
    <row r="247" spans="6:17" x14ac:dyDescent="0.25">
      <c r="F247" s="58"/>
      <c r="M247" s="58"/>
      <c r="N247" s="58"/>
      <c r="O247" s="58"/>
      <c r="P247" s="58"/>
      <c r="Q247" s="58"/>
    </row>
    <row r="248" spans="6:17" x14ac:dyDescent="0.25">
      <c r="F248" s="58"/>
      <c r="M248" s="58"/>
      <c r="N248" s="58"/>
      <c r="O248" s="58"/>
      <c r="P248" s="58"/>
      <c r="Q248" s="58"/>
    </row>
    <row r="249" spans="6:17" x14ac:dyDescent="0.25">
      <c r="F249" s="58"/>
      <c r="M249" s="58"/>
      <c r="N249" s="58"/>
      <c r="O249" s="58"/>
      <c r="P249" s="58"/>
      <c r="Q249" s="58"/>
    </row>
    <row r="250" spans="6:17" x14ac:dyDescent="0.25">
      <c r="F250" s="58"/>
      <c r="M250" s="58"/>
      <c r="N250" s="58"/>
      <c r="O250" s="58"/>
      <c r="P250" s="58"/>
      <c r="Q250" s="58"/>
    </row>
    <row r="251" spans="6:17" x14ac:dyDescent="0.25">
      <c r="F251" s="58"/>
      <c r="M251" s="58"/>
      <c r="N251" s="58"/>
      <c r="O251" s="58"/>
      <c r="P251" s="58"/>
      <c r="Q251" s="58"/>
    </row>
    <row r="252" spans="6:17" x14ac:dyDescent="0.25">
      <c r="F252" s="58"/>
      <c r="M252" s="58"/>
      <c r="N252" s="58"/>
      <c r="O252" s="58"/>
      <c r="P252" s="58"/>
      <c r="Q252" s="58"/>
    </row>
    <row r="253" spans="6:17" x14ac:dyDescent="0.25">
      <c r="F253" s="58"/>
      <c r="M253" s="58"/>
      <c r="N253" s="58"/>
      <c r="O253" s="58"/>
      <c r="P253" s="58"/>
      <c r="Q253" s="58"/>
    </row>
    <row r="254" spans="6:17" x14ac:dyDescent="0.25">
      <c r="F254" s="58"/>
      <c r="M254" s="58"/>
      <c r="N254" s="58"/>
      <c r="O254" s="58"/>
      <c r="P254" s="58"/>
      <c r="Q254" s="58"/>
    </row>
    <row r="255" spans="6:17" x14ac:dyDescent="0.25">
      <c r="F255" s="58"/>
      <c r="M255" s="58"/>
      <c r="N255" s="58"/>
      <c r="O255" s="58"/>
      <c r="P255" s="58"/>
      <c r="Q255" s="58"/>
    </row>
    <row r="256" spans="6:17" x14ac:dyDescent="0.25">
      <c r="F256" s="58"/>
      <c r="M256" s="58"/>
      <c r="N256" s="58"/>
      <c r="O256" s="58"/>
      <c r="P256" s="58"/>
      <c r="Q256" s="58"/>
    </row>
    <row r="257" spans="6:17" x14ac:dyDescent="0.25">
      <c r="F257" s="58"/>
      <c r="M257" s="58"/>
      <c r="N257" s="58"/>
      <c r="O257" s="58"/>
      <c r="P257" s="58"/>
      <c r="Q257" s="58"/>
    </row>
    <row r="258" spans="6:17" x14ac:dyDescent="0.25">
      <c r="F258" s="58"/>
      <c r="M258" s="58"/>
      <c r="N258" s="58"/>
      <c r="O258" s="58"/>
      <c r="P258" s="58"/>
      <c r="Q258" s="58"/>
    </row>
    <row r="259" spans="6:17" x14ac:dyDescent="0.25">
      <c r="F259" s="58"/>
      <c r="M259" s="58"/>
      <c r="N259" s="58"/>
      <c r="O259" s="58"/>
      <c r="P259" s="58"/>
      <c r="Q259" s="58"/>
    </row>
    <row r="260" spans="6:17" x14ac:dyDescent="0.25">
      <c r="F260" s="58"/>
      <c r="M260" s="58"/>
      <c r="N260" s="58"/>
      <c r="O260" s="58"/>
      <c r="P260" s="58"/>
      <c r="Q260" s="58"/>
    </row>
    <row r="261" spans="6:17" x14ac:dyDescent="0.25">
      <c r="F261" s="58"/>
      <c r="M261" s="58"/>
      <c r="N261" s="58"/>
      <c r="O261" s="58"/>
      <c r="P261" s="58"/>
      <c r="Q261" s="58"/>
    </row>
    <row r="262" spans="6:17" x14ac:dyDescent="0.25">
      <c r="F262" s="58"/>
      <c r="M262" s="58"/>
      <c r="N262" s="58"/>
      <c r="O262" s="58"/>
      <c r="P262" s="58"/>
      <c r="Q262" s="58"/>
    </row>
    <row r="263" spans="6:17" x14ac:dyDescent="0.25">
      <c r="F263" s="58"/>
      <c r="M263" s="58"/>
      <c r="N263" s="58"/>
      <c r="O263" s="58"/>
      <c r="P263" s="58"/>
      <c r="Q263" s="58"/>
    </row>
    <row r="264" spans="6:17" x14ac:dyDescent="0.25">
      <c r="F264" s="58"/>
      <c r="M264" s="58"/>
      <c r="N264" s="58"/>
      <c r="O264" s="58"/>
      <c r="P264" s="58"/>
      <c r="Q264" s="58"/>
    </row>
    <row r="265" spans="6:17" x14ac:dyDescent="0.25">
      <c r="F265" s="58"/>
      <c r="M265" s="58"/>
      <c r="N265" s="58"/>
      <c r="O265" s="58"/>
      <c r="P265" s="58"/>
      <c r="Q265" s="58"/>
    </row>
    <row r="266" spans="6:17" x14ac:dyDescent="0.25">
      <c r="F266" s="58"/>
      <c r="M266" s="58"/>
      <c r="N266" s="58"/>
      <c r="O266" s="58"/>
      <c r="P266" s="58"/>
      <c r="Q266" s="58"/>
    </row>
    <row r="267" spans="6:17" x14ac:dyDescent="0.25">
      <c r="F267" s="58"/>
      <c r="M267" s="58"/>
      <c r="N267" s="58"/>
      <c r="O267" s="58"/>
      <c r="P267" s="58"/>
      <c r="Q267" s="58"/>
    </row>
    <row r="268" spans="6:17" x14ac:dyDescent="0.25">
      <c r="F268" s="58"/>
      <c r="M268" s="58"/>
      <c r="N268" s="58"/>
      <c r="O268" s="58"/>
      <c r="P268" s="58"/>
      <c r="Q268" s="58"/>
    </row>
    <row r="269" spans="6:17" x14ac:dyDescent="0.25">
      <c r="F269" s="58"/>
      <c r="M269" s="58"/>
      <c r="N269" s="58"/>
      <c r="O269" s="58"/>
      <c r="P269" s="58"/>
      <c r="Q269" s="58"/>
    </row>
    <row r="270" spans="6:17" x14ac:dyDescent="0.25">
      <c r="F270" s="58"/>
      <c r="M270" s="58"/>
      <c r="N270" s="58"/>
      <c r="O270" s="58"/>
      <c r="P270" s="58"/>
      <c r="Q270" s="58"/>
    </row>
    <row r="271" spans="6:17" x14ac:dyDescent="0.25">
      <c r="F271" s="58"/>
      <c r="M271" s="58"/>
      <c r="N271" s="58"/>
      <c r="O271" s="58"/>
      <c r="P271" s="58"/>
      <c r="Q271" s="58"/>
    </row>
    <row r="272" spans="6:17" x14ac:dyDescent="0.25">
      <c r="F272" s="58"/>
      <c r="M272" s="58"/>
      <c r="N272" s="58"/>
      <c r="O272" s="58"/>
      <c r="P272" s="58"/>
      <c r="Q272" s="58"/>
    </row>
    <row r="273" spans="6:17" x14ac:dyDescent="0.25">
      <c r="F273" s="58"/>
      <c r="M273" s="58"/>
      <c r="N273" s="58"/>
      <c r="O273" s="58"/>
      <c r="P273" s="58"/>
      <c r="Q273" s="58"/>
    </row>
    <row r="274" spans="6:17" x14ac:dyDescent="0.25">
      <c r="F274" s="58"/>
      <c r="M274" s="58"/>
      <c r="N274" s="58"/>
      <c r="O274" s="58"/>
      <c r="P274" s="58"/>
      <c r="Q274" s="58"/>
    </row>
    <row r="275" spans="6:17" x14ac:dyDescent="0.25">
      <c r="F275" s="58"/>
      <c r="M275" s="58"/>
      <c r="N275" s="58"/>
      <c r="O275" s="58"/>
      <c r="P275" s="58"/>
      <c r="Q275" s="58"/>
    </row>
    <row r="276" spans="6:17" x14ac:dyDescent="0.25">
      <c r="F276" s="58"/>
      <c r="M276" s="58"/>
      <c r="N276" s="58"/>
      <c r="O276" s="58"/>
      <c r="P276" s="58"/>
      <c r="Q276" s="58"/>
    </row>
    <row r="277" spans="6:17" x14ac:dyDescent="0.25">
      <c r="F277" s="58"/>
      <c r="M277" s="58"/>
      <c r="N277" s="58"/>
      <c r="O277" s="58"/>
      <c r="P277" s="58"/>
      <c r="Q277" s="58"/>
    </row>
    <row r="278" spans="6:17" x14ac:dyDescent="0.25">
      <c r="F278" s="58"/>
      <c r="M278" s="58"/>
      <c r="N278" s="58"/>
      <c r="O278" s="58"/>
      <c r="P278" s="58"/>
      <c r="Q278" s="58"/>
    </row>
    <row r="279" spans="6:17" x14ac:dyDescent="0.25">
      <c r="F279" s="58"/>
      <c r="M279" s="58"/>
      <c r="N279" s="58"/>
      <c r="O279" s="58"/>
      <c r="P279" s="58"/>
      <c r="Q279" s="58"/>
    </row>
    <row r="280" spans="6:17" x14ac:dyDescent="0.25">
      <c r="F280" s="58"/>
      <c r="M280" s="58"/>
      <c r="N280" s="58"/>
      <c r="O280" s="58"/>
      <c r="P280" s="58"/>
      <c r="Q280" s="58"/>
    </row>
    <row r="281" spans="6:17" x14ac:dyDescent="0.25">
      <c r="F281" s="58"/>
      <c r="M281" s="58"/>
      <c r="N281" s="58"/>
      <c r="O281" s="58"/>
      <c r="P281" s="58"/>
      <c r="Q281" s="58"/>
    </row>
    <row r="282" spans="6:17" x14ac:dyDescent="0.25">
      <c r="F282" s="58"/>
      <c r="M282" s="58"/>
      <c r="N282" s="58"/>
      <c r="O282" s="58"/>
      <c r="P282" s="58"/>
      <c r="Q282" s="58"/>
    </row>
    <row r="283" spans="6:17" x14ac:dyDescent="0.25">
      <c r="F283" s="58"/>
      <c r="M283" s="58"/>
      <c r="N283" s="58"/>
      <c r="O283" s="58"/>
      <c r="P283" s="58"/>
      <c r="Q283" s="58"/>
    </row>
    <row r="284" spans="6:17" x14ac:dyDescent="0.25">
      <c r="F284" s="58"/>
      <c r="M284" s="58"/>
      <c r="N284" s="58"/>
      <c r="O284" s="58"/>
      <c r="P284" s="58"/>
      <c r="Q284" s="58"/>
    </row>
    <row r="285" spans="6:17" x14ac:dyDescent="0.25">
      <c r="F285" s="58"/>
      <c r="M285" s="58"/>
      <c r="N285" s="58"/>
      <c r="O285" s="58"/>
      <c r="P285" s="58"/>
      <c r="Q285" s="58"/>
    </row>
    <row r="286" spans="6:17" x14ac:dyDescent="0.25">
      <c r="F286" s="58"/>
      <c r="M286" s="58"/>
      <c r="N286" s="58"/>
      <c r="O286" s="58"/>
      <c r="P286" s="58"/>
      <c r="Q286" s="58"/>
    </row>
    <row r="287" spans="6:17" x14ac:dyDescent="0.25">
      <c r="F287" s="58"/>
      <c r="M287" s="58"/>
      <c r="N287" s="58"/>
      <c r="O287" s="58"/>
      <c r="P287" s="58"/>
      <c r="Q287" s="58"/>
    </row>
    <row r="288" spans="6:17" x14ac:dyDescent="0.25">
      <c r="F288" s="58"/>
      <c r="M288" s="58"/>
      <c r="N288" s="58"/>
      <c r="O288" s="58"/>
      <c r="P288" s="58"/>
      <c r="Q288" s="58"/>
    </row>
    <row r="289" spans="6:17" x14ac:dyDescent="0.25">
      <c r="F289" s="58"/>
      <c r="M289" s="58"/>
      <c r="N289" s="58"/>
      <c r="O289" s="58"/>
      <c r="P289" s="58"/>
      <c r="Q289" s="58"/>
    </row>
    <row r="290" spans="6:17" x14ac:dyDescent="0.25">
      <c r="F290" s="58"/>
      <c r="M290" s="58"/>
      <c r="N290" s="58"/>
      <c r="O290" s="58"/>
      <c r="P290" s="58"/>
      <c r="Q290" s="58"/>
    </row>
    <row r="291" spans="6:17" x14ac:dyDescent="0.25">
      <c r="F291" s="58"/>
      <c r="M291" s="58"/>
      <c r="N291" s="58"/>
      <c r="O291" s="58"/>
      <c r="P291" s="58"/>
      <c r="Q291" s="58"/>
    </row>
    <row r="292" spans="6:17" x14ac:dyDescent="0.25">
      <c r="F292" s="58"/>
      <c r="M292" s="58"/>
      <c r="N292" s="58"/>
      <c r="O292" s="58"/>
      <c r="P292" s="58"/>
      <c r="Q292" s="58"/>
    </row>
    <row r="293" spans="6:17" x14ac:dyDescent="0.25">
      <c r="F293" s="58"/>
      <c r="M293" s="58"/>
      <c r="N293" s="58"/>
      <c r="O293" s="58"/>
      <c r="P293" s="58"/>
      <c r="Q293" s="58"/>
    </row>
    <row r="294" spans="6:17" x14ac:dyDescent="0.25">
      <c r="F294" s="58"/>
      <c r="M294" s="58"/>
      <c r="N294" s="58"/>
      <c r="O294" s="58"/>
      <c r="P294" s="58"/>
      <c r="Q294" s="58"/>
    </row>
    <row r="295" spans="6:17" x14ac:dyDescent="0.25">
      <c r="M295" s="58"/>
      <c r="N295" s="58"/>
      <c r="O295" s="58"/>
      <c r="P295" s="58"/>
      <c r="Q295" s="58"/>
    </row>
    <row r="296" spans="6:17" x14ac:dyDescent="0.25">
      <c r="M296" s="58"/>
      <c r="N296" s="58"/>
      <c r="O296" s="58"/>
      <c r="P296" s="58"/>
      <c r="Q296" s="58"/>
    </row>
    <row r="297" spans="6:17" x14ac:dyDescent="0.25">
      <c r="M297" s="58"/>
      <c r="N297" s="58"/>
      <c r="O297" s="58"/>
      <c r="P297" s="58"/>
      <c r="Q297" s="58"/>
    </row>
    <row r="298" spans="6:17" x14ac:dyDescent="0.25">
      <c r="M298" s="58"/>
      <c r="N298" s="58"/>
      <c r="O298" s="58"/>
      <c r="P298" s="58"/>
      <c r="Q298" s="58"/>
    </row>
    <row r="299" spans="6:17" x14ac:dyDescent="0.25">
      <c r="M299" s="58"/>
      <c r="N299" s="58"/>
      <c r="O299" s="58"/>
      <c r="P299" s="58"/>
      <c r="Q299" s="58"/>
    </row>
    <row r="300" spans="6:17" x14ac:dyDescent="0.25">
      <c r="M300" s="58"/>
      <c r="N300" s="58"/>
      <c r="O300" s="58"/>
      <c r="P300" s="58"/>
      <c r="Q300" s="58"/>
    </row>
    <row r="301" spans="6:17" x14ac:dyDescent="0.25">
      <c r="M301" s="58"/>
      <c r="N301" s="58"/>
      <c r="O301" s="58"/>
      <c r="P301" s="58"/>
      <c r="Q301" s="58"/>
    </row>
    <row r="302" spans="6:17" x14ac:dyDescent="0.25">
      <c r="M302" s="58"/>
      <c r="N302" s="58"/>
      <c r="O302" s="58"/>
      <c r="P302" s="58"/>
      <c r="Q302" s="58"/>
    </row>
  </sheetData>
  <sheetProtection algorithmName="SHA-512" hashValue="V/Ufkd0BpGfPTv9DK8nPlmfL4k1vf+l8vCuil+a7cHGdLmx0q2JEFjDfImV6Zq/q/HOpODQ0IXbYHwesbmAQPw==" saltValue="oYVZon/v7vptFkVw6f3ODg==" spinCount="100000" sheet="1" objects="1" scenarios="1"/>
  <mergeCells count="10">
    <mergeCell ref="C2:Q2"/>
    <mergeCell ref="C3:Q3"/>
    <mergeCell ref="C4:Q4"/>
    <mergeCell ref="U9:V9"/>
    <mergeCell ref="M9:Q9"/>
    <mergeCell ref="S9:T9"/>
    <mergeCell ref="F9:K9"/>
    <mergeCell ref="C6:D6"/>
    <mergeCell ref="C9:D9"/>
    <mergeCell ref="F6:K6"/>
  </mergeCells>
  <conditionalFormatting sqref="S9:V10">
    <cfRule type="expression" dxfId="5" priority="20">
      <formula>$S$10&lt;&gt;""</formula>
    </cfRule>
  </conditionalFormatting>
  <conditionalFormatting sqref="F173:F294 M173:Q302 M12:Q67 F12:K67 D12:D67 C11:Q11 C12:E13 D11:Q58">
    <cfRule type="containsBlanks" priority="7" stopIfTrue="1">
      <formula>LEN(TRIM(C11))=0</formula>
    </cfRule>
  </conditionalFormatting>
  <conditionalFormatting sqref="C9:D9">
    <cfRule type="expression" dxfId="4" priority="2">
      <formula>$C$9&lt;&gt;""</formula>
    </cfRule>
  </conditionalFormatting>
  <conditionalFormatting sqref="F6:K6">
    <cfRule type="containsText" dxfId="3" priority="1" operator="containsText" text="CLDOCIT">
      <formula>NOT(ISERROR(SEARCH("CLDOCIT",F6)))</formula>
    </cfRule>
  </conditionalFormatting>
  <dataValidations count="1">
    <dataValidation type="list" showInputMessage="1" showErrorMessage="1" sqref="C6:D6" xr:uid="{00000000-0002-0000-0000-000000000000}">
      <formula1>LIST</formula1>
    </dataValidation>
  </dataValidations>
  <printOptions horizontalCentered="1"/>
  <pageMargins left="0.23622047244094491" right="0.23622047244094491" top="0.74803149606299213" bottom="0.39370078740157483" header="0.27559055118110237" footer="0.31496062992125984"/>
  <pageSetup paperSize="9" scale="4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6B5B06B3-D9FA-4CC9-92C4-BB3B587251A8}">
            <xm:f>$C11=Thresholds_Rates!$C$12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F173:F294 M173:Q302 C11:Q67</xm:sqref>
        </x14:conditionalFormatting>
        <x14:conditionalFormatting xmlns:xm="http://schemas.microsoft.com/office/excel/2006/main">
          <x14:cfRule type="expression" priority="35" id="{7A1CD022-C5B3-4A9F-B822-D53F5F12A0AE}">
            <xm:f>AND(Thresholds_Rates!$C$12=0,$C$6&lt;&gt;"O&amp;F Level 1",$C$6&lt;&gt;"O&amp;F Level 2")</xm:f>
            <x14:dxf>
              <numFmt numFmtId="0" formatCode="General"/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F6</xm:sqref>
        </x14:conditionalFormatting>
        <x14:conditionalFormatting xmlns:xm="http://schemas.microsoft.com/office/excel/2006/main">
          <x14:cfRule type="expression" priority="36" id="{ABE4A44D-BD52-4335-A3FD-5FCEE129207B}">
            <xm:f>AND($C2=Thresholds_Rates!$C$12,$S$10&lt;&gt;"")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m:sqref>R2:V4 R11:V172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G39"/>
  <sheetViews>
    <sheetView zoomScale="85" zoomScaleNormal="85" workbookViewId="0">
      <selection sqref="A1:D1"/>
    </sheetView>
  </sheetViews>
  <sheetFormatPr defaultColWidth="9.140625" defaultRowHeight="14.25" x14ac:dyDescent="0.2"/>
  <cols>
    <col min="1" max="1" width="27.5703125" style="90" bestFit="1" customWidth="1"/>
    <col min="2" max="2" width="40.7109375" style="90" customWidth="1"/>
    <col min="3" max="4" width="35.7109375" style="90" customWidth="1"/>
    <col min="5" max="5" width="29.5703125" style="90" customWidth="1"/>
    <col min="6" max="6" width="17.42578125" style="90" bestFit="1" customWidth="1"/>
    <col min="7" max="16384" width="9.140625" style="90"/>
  </cols>
  <sheetData>
    <row r="1" spans="1:7" s="85" customFormat="1" ht="30" x14ac:dyDescent="0.25">
      <c r="A1" s="321" t="s">
        <v>62</v>
      </c>
      <c r="B1" s="321"/>
      <c r="C1" s="321"/>
      <c r="D1" s="321"/>
      <c r="G1" s="86"/>
    </row>
    <row r="2" spans="1:7" s="85" customFormat="1" ht="30" x14ac:dyDescent="0.25">
      <c r="A2" s="84"/>
      <c r="B2" s="84"/>
      <c r="G2" s="86"/>
    </row>
    <row r="3" spans="1:7" s="85" customFormat="1" ht="34.5" customHeight="1" x14ac:dyDescent="0.25">
      <c r="A3" s="320" t="s">
        <v>63</v>
      </c>
      <c r="B3" s="320"/>
      <c r="C3" s="320"/>
      <c r="D3" s="320"/>
      <c r="G3" s="86"/>
    </row>
    <row r="4" spans="1:7" s="85" customFormat="1" ht="34.5" customHeight="1" x14ac:dyDescent="0.25">
      <c r="A4" s="95">
        <v>2023.1</v>
      </c>
      <c r="C4" s="215"/>
      <c r="D4" s="215"/>
      <c r="E4" s="215"/>
      <c r="F4" s="215"/>
      <c r="G4" s="215"/>
    </row>
    <row r="5" spans="1:7" s="85" customFormat="1" ht="30" x14ac:dyDescent="0.25">
      <c r="A5" s="84"/>
      <c r="B5" s="84"/>
      <c r="C5" s="215"/>
      <c r="D5" s="215"/>
      <c r="E5" s="215"/>
      <c r="F5" s="215"/>
      <c r="G5" s="215"/>
    </row>
    <row r="6" spans="1:7" s="85" customFormat="1" ht="34.5" customHeight="1" x14ac:dyDescent="0.25">
      <c r="A6" s="320" t="s">
        <v>64</v>
      </c>
      <c r="B6" s="320"/>
      <c r="C6" s="320"/>
      <c r="D6" s="320"/>
      <c r="G6" s="86"/>
    </row>
    <row r="7" spans="1:7" s="85" customFormat="1" ht="34.5" customHeight="1" x14ac:dyDescent="0.25">
      <c r="A7" s="95" t="s">
        <v>65</v>
      </c>
      <c r="B7" s="95" t="s">
        <v>66</v>
      </c>
      <c r="C7" s="110" t="s">
        <v>67</v>
      </c>
      <c r="D7" s="109" t="s">
        <v>68</v>
      </c>
      <c r="G7" s="86"/>
    </row>
    <row r="8" spans="1:7" s="85" customFormat="1" ht="34.5" customHeight="1" x14ac:dyDescent="0.25">
      <c r="A8" s="96" t="s">
        <v>69</v>
      </c>
      <c r="B8" s="195" t="s">
        <v>70</v>
      </c>
      <c r="C8" s="213">
        <v>44774</v>
      </c>
      <c r="D8" s="235">
        <v>44839</v>
      </c>
      <c r="G8" s="86"/>
    </row>
    <row r="9" spans="1:7" s="85" customFormat="1" ht="34.5" customHeight="1" x14ac:dyDescent="0.25">
      <c r="A9" s="94" t="s">
        <v>69</v>
      </c>
      <c r="B9" s="195" t="s">
        <v>71</v>
      </c>
      <c r="C9" s="213">
        <v>44958</v>
      </c>
      <c r="D9" s="213">
        <v>45009</v>
      </c>
      <c r="G9" s="86"/>
    </row>
    <row r="10" spans="1:7" s="85" customFormat="1" ht="34.5" customHeight="1" x14ac:dyDescent="0.25">
      <c r="A10" s="94" t="s">
        <v>69</v>
      </c>
      <c r="B10" s="195" t="s">
        <v>230</v>
      </c>
      <c r="C10" s="213">
        <v>44774</v>
      </c>
      <c r="D10" s="235">
        <v>44839</v>
      </c>
      <c r="G10" s="86"/>
    </row>
    <row r="11" spans="1:7" s="85" customFormat="1" ht="34.5" customHeight="1" x14ac:dyDescent="0.25">
      <c r="A11" s="94" t="s">
        <v>69</v>
      </c>
      <c r="B11" s="195" t="s">
        <v>231</v>
      </c>
      <c r="C11" s="213">
        <v>44958</v>
      </c>
      <c r="D11" s="213">
        <v>45009</v>
      </c>
      <c r="G11" s="86"/>
    </row>
    <row r="12" spans="1:7" s="85" customFormat="1" ht="34.5" customHeight="1" x14ac:dyDescent="0.25">
      <c r="A12" s="96" t="s">
        <v>72</v>
      </c>
      <c r="B12" s="195" t="s">
        <v>73</v>
      </c>
      <c r="C12" s="213">
        <v>45017</v>
      </c>
      <c r="D12" s="213">
        <v>45009</v>
      </c>
      <c r="G12" s="86"/>
    </row>
    <row r="13" spans="1:7" s="85" customFormat="1" ht="34.5" customHeight="1" x14ac:dyDescent="0.25">
      <c r="A13" s="96" t="s">
        <v>74</v>
      </c>
      <c r="B13" s="209" t="s">
        <v>75</v>
      </c>
      <c r="C13" s="213">
        <v>44652</v>
      </c>
      <c r="D13" s="213">
        <v>44664</v>
      </c>
      <c r="G13" s="86"/>
    </row>
    <row r="14" spans="1:7" s="85" customFormat="1" ht="34.5" customHeight="1" x14ac:dyDescent="0.25">
      <c r="A14" s="96" t="s">
        <v>74</v>
      </c>
      <c r="B14" s="195" t="s">
        <v>76</v>
      </c>
      <c r="C14" s="213">
        <v>44652</v>
      </c>
      <c r="D14" s="213">
        <v>44839</v>
      </c>
      <c r="G14" s="86"/>
    </row>
    <row r="15" spans="1:7" s="85" customFormat="1" ht="34.5" customHeight="1" x14ac:dyDescent="0.25">
      <c r="A15" s="96" t="s">
        <v>222</v>
      </c>
      <c r="B15" s="195" t="s">
        <v>273</v>
      </c>
      <c r="C15" s="213">
        <v>44652</v>
      </c>
      <c r="D15" s="213">
        <v>44664</v>
      </c>
      <c r="G15" s="86"/>
    </row>
    <row r="16" spans="1:7" s="85" customFormat="1" ht="34.5" customHeight="1" x14ac:dyDescent="0.25">
      <c r="A16" s="96" t="s">
        <v>224</v>
      </c>
      <c r="B16" s="195" t="s">
        <v>276</v>
      </c>
      <c r="C16" s="213">
        <v>43556</v>
      </c>
      <c r="D16" s="213">
        <v>44896</v>
      </c>
      <c r="G16" s="86"/>
    </row>
    <row r="17" spans="1:7" s="85" customFormat="1" ht="34.5" customHeight="1" x14ac:dyDescent="0.25">
      <c r="A17" s="96" t="s">
        <v>226</v>
      </c>
      <c r="B17" s="195" t="s">
        <v>275</v>
      </c>
      <c r="C17" s="213">
        <v>44652</v>
      </c>
      <c r="D17" s="213">
        <v>44664</v>
      </c>
      <c r="G17" s="86"/>
    </row>
    <row r="18" spans="1:7" s="85" customFormat="1" ht="34.5" customHeight="1" x14ac:dyDescent="0.25">
      <c r="A18" s="96" t="s">
        <v>227</v>
      </c>
      <c r="B18" s="195" t="s">
        <v>274</v>
      </c>
      <c r="C18" s="213">
        <v>44774</v>
      </c>
      <c r="D18" s="213">
        <v>44896</v>
      </c>
      <c r="G18" s="86"/>
    </row>
    <row r="19" spans="1:7" s="85" customFormat="1" ht="34.5" customHeight="1" x14ac:dyDescent="0.25">
      <c r="A19" s="94" t="s">
        <v>77</v>
      </c>
      <c r="B19" s="94"/>
      <c r="C19" s="214"/>
      <c r="D19" s="214">
        <f>MAX(D8:D14)</f>
        <v>45009</v>
      </c>
      <c r="G19" s="86"/>
    </row>
    <row r="20" spans="1:7" s="85" customFormat="1" ht="34.5" customHeight="1" x14ac:dyDescent="0.25">
      <c r="A20" s="84"/>
      <c r="B20" s="84"/>
      <c r="G20" s="86"/>
    </row>
    <row r="21" spans="1:7" s="85" customFormat="1" ht="34.5" customHeight="1" x14ac:dyDescent="0.25">
      <c r="A21" s="320" t="s">
        <v>78</v>
      </c>
      <c r="B21" s="320"/>
      <c r="C21" s="320"/>
      <c r="D21" s="320"/>
      <c r="G21" s="86"/>
    </row>
    <row r="22" spans="1:7" s="85" customFormat="1" ht="34.5" customHeight="1" x14ac:dyDescent="0.25">
      <c r="A22" s="319" t="s">
        <v>79</v>
      </c>
      <c r="B22" s="319"/>
      <c r="C22" s="319"/>
      <c r="D22" s="319"/>
    </row>
    <row r="23" spans="1:7" s="85" customFormat="1" ht="34.5" customHeight="1" x14ac:dyDescent="0.25">
      <c r="A23" s="319" t="s">
        <v>80</v>
      </c>
      <c r="B23" s="319"/>
      <c r="C23" s="319"/>
      <c r="D23" s="319"/>
    </row>
    <row r="24" spans="1:7" s="85" customFormat="1" ht="34.5" customHeight="1" x14ac:dyDescent="0.25">
      <c r="A24" s="319" t="s">
        <v>81</v>
      </c>
      <c r="B24" s="319"/>
      <c r="C24" s="319"/>
      <c r="D24" s="319"/>
    </row>
    <row r="25" spans="1:7" s="85" customFormat="1" ht="34.5" customHeight="1" x14ac:dyDescent="0.25"/>
    <row r="26" spans="1:7" s="85" customFormat="1" ht="40.5" customHeight="1" x14ac:dyDescent="0.25">
      <c r="A26" s="320" t="s">
        <v>82</v>
      </c>
      <c r="B26" s="320"/>
      <c r="C26" s="320"/>
      <c r="D26" s="320"/>
    </row>
    <row r="27" spans="1:7" s="85" customFormat="1" ht="38.25" customHeight="1" x14ac:dyDescent="0.25">
      <c r="A27" s="319" t="s">
        <v>83</v>
      </c>
      <c r="B27" s="319"/>
      <c r="C27" s="319"/>
      <c r="D27" s="319"/>
    </row>
    <row r="28" spans="1:7" s="85" customFormat="1" ht="35.1" customHeight="1" x14ac:dyDescent="0.25">
      <c r="A28" s="319" t="s">
        <v>84</v>
      </c>
      <c r="B28" s="319"/>
      <c r="C28" s="319"/>
      <c r="D28" s="319"/>
    </row>
    <row r="29" spans="1:7" s="85" customFormat="1" ht="45.75" customHeight="1" x14ac:dyDescent="0.25">
      <c r="A29" s="319" t="s">
        <v>85</v>
      </c>
      <c r="B29" s="319"/>
      <c r="C29" s="319"/>
      <c r="D29" s="319"/>
    </row>
    <row r="30" spans="1:7" s="85" customFormat="1" ht="35.1" customHeight="1" x14ac:dyDescent="0.25">
      <c r="A30" s="319" t="s">
        <v>235</v>
      </c>
      <c r="B30" s="319"/>
      <c r="C30" s="319"/>
      <c r="D30" s="319"/>
      <c r="F30" s="87"/>
    </row>
    <row r="31" spans="1:7" s="85" customFormat="1" ht="41.25" customHeight="1" x14ac:dyDescent="0.25">
      <c r="A31" s="319" t="s">
        <v>86</v>
      </c>
      <c r="B31" s="319"/>
      <c r="C31" s="319"/>
      <c r="D31" s="319"/>
      <c r="F31" s="87"/>
    </row>
    <row r="32" spans="1:7" s="85" customFormat="1" ht="48.75" customHeight="1" x14ac:dyDescent="0.25">
      <c r="A32" s="319" t="s">
        <v>87</v>
      </c>
      <c r="B32" s="319"/>
      <c r="C32" s="319"/>
      <c r="D32" s="319"/>
      <c r="F32" s="87"/>
    </row>
    <row r="33" spans="1:6" s="85" customFormat="1" ht="59.25" customHeight="1" x14ac:dyDescent="0.25">
      <c r="A33" s="319" t="s">
        <v>278</v>
      </c>
      <c r="B33" s="319"/>
      <c r="C33" s="319"/>
      <c r="D33" s="319"/>
    </row>
    <row r="34" spans="1:6" s="85" customFormat="1" ht="77.25" customHeight="1" x14ac:dyDescent="0.2">
      <c r="A34" s="319" t="s">
        <v>88</v>
      </c>
      <c r="B34" s="319"/>
      <c r="C34" s="319"/>
      <c r="D34" s="319"/>
      <c r="E34" s="88"/>
      <c r="F34" s="89"/>
    </row>
    <row r="35" spans="1:6" s="85" customFormat="1" ht="35.1" customHeight="1" x14ac:dyDescent="0.25"/>
    <row r="36" spans="1:6" ht="35.1" customHeight="1" x14ac:dyDescent="0.2">
      <c r="A36" s="85"/>
      <c r="B36" s="85"/>
      <c r="C36" s="85"/>
      <c r="D36" s="85"/>
      <c r="E36" s="85"/>
      <c r="F36" s="85"/>
    </row>
    <row r="37" spans="1:6" x14ac:dyDescent="0.2">
      <c r="E37" s="85"/>
      <c r="F37" s="85"/>
    </row>
    <row r="38" spans="1:6" x14ac:dyDescent="0.2">
      <c r="E38" s="85"/>
      <c r="F38" s="85"/>
    </row>
    <row r="39" spans="1:6" x14ac:dyDescent="0.2">
      <c r="E39" s="85"/>
      <c r="F39" s="85"/>
    </row>
  </sheetData>
  <sheetProtection algorithmName="SHA-512" hashValue="8rX5zNVAqxxic1EYvin9jb7VlsoX1fJ7W+lM7TTDOyzh+PBH5yQAwrEJFzS/UR8WLVEoVTxDHPrx1HKwopH42g==" saltValue="BktN+d2XdZ7tTj0gNaEDTQ==" spinCount="100000" sheet="1" objects="1" scenarios="1"/>
  <mergeCells count="16">
    <mergeCell ref="A1:D1"/>
    <mergeCell ref="A21:D21"/>
    <mergeCell ref="A22:D22"/>
    <mergeCell ref="A23:D23"/>
    <mergeCell ref="A24:D24"/>
    <mergeCell ref="A3:D3"/>
    <mergeCell ref="A34:D34"/>
    <mergeCell ref="A26:D26"/>
    <mergeCell ref="A6:D6"/>
    <mergeCell ref="A28:D28"/>
    <mergeCell ref="A29:D29"/>
    <mergeCell ref="A30:D30"/>
    <mergeCell ref="A31:D31"/>
    <mergeCell ref="A32:D32"/>
    <mergeCell ref="A33:D33"/>
    <mergeCell ref="A27:D27"/>
  </mergeCells>
  <pageMargins left="0.7" right="0.7" top="0.75" bottom="0.75" header="0.3" footer="0.3"/>
  <pageSetup paperSize="9" scale="6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/>
  </sheetPr>
  <dimension ref="A1:CB50"/>
  <sheetViews>
    <sheetView topLeftCell="A2" zoomScale="130" zoomScaleNormal="130" workbookViewId="0">
      <pane xSplit="1" topLeftCell="B1" activePane="topRight" state="frozen"/>
      <selection activeCell="E6" sqref="E6"/>
      <selection pane="topRight" activeCell="E6" sqref="E6"/>
    </sheetView>
  </sheetViews>
  <sheetFormatPr defaultColWidth="9.140625" defaultRowHeight="15" x14ac:dyDescent="0.25"/>
  <cols>
    <col min="1" max="1" width="75.7109375" style="10" bestFit="1" customWidth="1"/>
    <col min="2" max="2" width="22.85546875" style="10" customWidth="1"/>
    <col min="3" max="4" width="14.85546875" style="10" customWidth="1"/>
    <col min="5" max="5" width="22.7109375" style="10" customWidth="1"/>
    <col min="6" max="6" width="15.7109375" style="10" customWidth="1"/>
    <col min="7" max="24" width="9.140625" style="10" customWidth="1"/>
    <col min="25" max="25" width="10.85546875" style="10" bestFit="1" customWidth="1"/>
    <col min="26" max="26" width="12.140625" style="10" bestFit="1" customWidth="1"/>
    <col min="27" max="27" width="9.140625" style="10" customWidth="1"/>
    <col min="28" max="63" width="9.140625" style="10"/>
    <col min="64" max="64" width="10" style="10" customWidth="1"/>
    <col min="65" max="66" width="11.7109375" style="10" customWidth="1"/>
    <col min="67" max="67" width="17.140625" style="10" customWidth="1"/>
    <col min="68" max="68" width="20.85546875" style="10" bestFit="1" customWidth="1"/>
    <col min="69" max="76" width="9.140625" style="10"/>
    <col min="77" max="77" width="49" style="10" customWidth="1"/>
    <col min="78" max="78" width="57.42578125" style="10" customWidth="1"/>
    <col min="79" max="79" width="9.140625" style="10"/>
    <col min="80" max="80" width="49.85546875" style="10" customWidth="1"/>
    <col min="81" max="16384" width="9.140625" style="10"/>
  </cols>
  <sheetData>
    <row r="1" spans="1:80" x14ac:dyDescent="0.25">
      <c r="A1" s="152" t="str">
        <f>"Column reference for VLOOKUPS: "&amp;COLUMN()</f>
        <v>Column reference for VLOOKUPS: 1</v>
      </c>
      <c r="B1" s="152">
        <f>COLUMN()</f>
        <v>2</v>
      </c>
      <c r="C1" s="152">
        <f>COLUMN()</f>
        <v>3</v>
      </c>
      <c r="D1" s="152">
        <f>COLUMN()</f>
        <v>4</v>
      </c>
      <c r="E1" s="152">
        <f>COLUMN()</f>
        <v>5</v>
      </c>
      <c r="F1" s="152">
        <f>COLUMN()</f>
        <v>6</v>
      </c>
      <c r="G1" s="152">
        <f>COLUMN()</f>
        <v>7</v>
      </c>
      <c r="H1" s="152">
        <f>COLUMN()</f>
        <v>8</v>
      </c>
      <c r="I1" s="152">
        <f>COLUMN()</f>
        <v>9</v>
      </c>
      <c r="J1" s="152">
        <f>COLUMN()</f>
        <v>10</v>
      </c>
      <c r="K1" s="152">
        <f>COLUMN()</f>
        <v>11</v>
      </c>
      <c r="L1" s="152">
        <f>COLUMN()</f>
        <v>12</v>
      </c>
      <c r="M1" s="152">
        <f>COLUMN()</f>
        <v>13</v>
      </c>
      <c r="N1" s="152">
        <f>COLUMN()</f>
        <v>14</v>
      </c>
      <c r="O1" s="152">
        <f>COLUMN()</f>
        <v>15</v>
      </c>
      <c r="P1" s="152">
        <f>COLUMN()</f>
        <v>16</v>
      </c>
      <c r="Q1" s="152">
        <f>COLUMN()</f>
        <v>17</v>
      </c>
      <c r="R1" s="152">
        <f>COLUMN()</f>
        <v>18</v>
      </c>
      <c r="S1" s="152">
        <f>COLUMN()</f>
        <v>19</v>
      </c>
      <c r="T1" s="152">
        <f>COLUMN()</f>
        <v>20</v>
      </c>
      <c r="U1" s="152">
        <f>COLUMN()</f>
        <v>21</v>
      </c>
      <c r="V1" s="152">
        <f>COLUMN()</f>
        <v>22</v>
      </c>
      <c r="W1" s="152">
        <f>COLUMN()</f>
        <v>23</v>
      </c>
      <c r="X1" s="152">
        <f>COLUMN()</f>
        <v>24</v>
      </c>
      <c r="Y1" s="152">
        <f>COLUMN()</f>
        <v>25</v>
      </c>
      <c r="Z1" s="152">
        <f>COLUMN()</f>
        <v>26</v>
      </c>
      <c r="AA1" s="152">
        <f>COLUMN()</f>
        <v>27</v>
      </c>
      <c r="AB1" s="152">
        <f>COLUMN()</f>
        <v>28</v>
      </c>
      <c r="AC1" s="152">
        <f>COLUMN()</f>
        <v>29</v>
      </c>
      <c r="AD1" s="152">
        <f>COLUMN()</f>
        <v>30</v>
      </c>
      <c r="AE1" s="152">
        <f>COLUMN()</f>
        <v>31</v>
      </c>
      <c r="AF1" s="152">
        <f>COLUMN()</f>
        <v>32</v>
      </c>
      <c r="AG1" s="152">
        <f>COLUMN()</f>
        <v>33</v>
      </c>
      <c r="AH1" s="152">
        <f>COLUMN()</f>
        <v>34</v>
      </c>
      <c r="AI1" s="152">
        <f>COLUMN()</f>
        <v>35</v>
      </c>
      <c r="AJ1" s="152">
        <f>COLUMN()</f>
        <v>36</v>
      </c>
      <c r="AK1" s="152">
        <f>COLUMN()</f>
        <v>37</v>
      </c>
      <c r="AL1" s="152">
        <f>COLUMN()</f>
        <v>38</v>
      </c>
      <c r="AM1" s="152">
        <f>COLUMN()</f>
        <v>39</v>
      </c>
      <c r="AN1" s="152">
        <f>COLUMN()</f>
        <v>40</v>
      </c>
      <c r="AO1" s="152">
        <f>COLUMN()</f>
        <v>41</v>
      </c>
      <c r="AP1" s="152">
        <f>COLUMN()</f>
        <v>42</v>
      </c>
      <c r="AQ1" s="152">
        <f>COLUMN()</f>
        <v>43</v>
      </c>
      <c r="AR1" s="152">
        <f>COLUMN()</f>
        <v>44</v>
      </c>
      <c r="AS1" s="152">
        <f>COLUMN()</f>
        <v>45</v>
      </c>
      <c r="AT1" s="152">
        <f>COLUMN()</f>
        <v>46</v>
      </c>
      <c r="AU1" s="152">
        <f>COLUMN()</f>
        <v>47</v>
      </c>
      <c r="AV1" s="152">
        <f>COLUMN()</f>
        <v>48</v>
      </c>
      <c r="AW1" s="152">
        <f>COLUMN()</f>
        <v>49</v>
      </c>
      <c r="AX1" s="152">
        <f>COLUMN()</f>
        <v>50</v>
      </c>
      <c r="AY1" s="152">
        <f>COLUMN()</f>
        <v>51</v>
      </c>
      <c r="AZ1" s="152">
        <f>COLUMN()</f>
        <v>52</v>
      </c>
      <c r="BA1" s="152">
        <f>COLUMN()</f>
        <v>53</v>
      </c>
      <c r="BB1" s="152">
        <f>COLUMN()</f>
        <v>54</v>
      </c>
      <c r="BC1" s="152">
        <f>COLUMN()</f>
        <v>55</v>
      </c>
      <c r="BD1" s="152">
        <f>COLUMN()</f>
        <v>56</v>
      </c>
      <c r="BE1" s="152">
        <f>COLUMN()</f>
        <v>57</v>
      </c>
      <c r="BF1" s="152">
        <f>COLUMN()</f>
        <v>58</v>
      </c>
      <c r="BG1" s="152">
        <f>COLUMN()</f>
        <v>59</v>
      </c>
      <c r="BH1" s="152">
        <f>COLUMN()</f>
        <v>60</v>
      </c>
      <c r="BI1" s="152">
        <f>COLUMN()</f>
        <v>61</v>
      </c>
      <c r="BJ1" s="152">
        <f>COLUMN()</f>
        <v>62</v>
      </c>
      <c r="BK1" s="152">
        <f>COLUMN()</f>
        <v>63</v>
      </c>
      <c r="BL1" s="152">
        <f>COLUMN()</f>
        <v>64</v>
      </c>
      <c r="BM1" s="152">
        <f>COLUMN()</f>
        <v>65</v>
      </c>
      <c r="BN1" s="152">
        <f>COLUMN()</f>
        <v>66</v>
      </c>
      <c r="BO1" s="152">
        <f>COLUMN()</f>
        <v>67</v>
      </c>
      <c r="BP1" s="152">
        <f>COLUMN()</f>
        <v>68</v>
      </c>
      <c r="BQ1" s="152">
        <f>COLUMN()</f>
        <v>69</v>
      </c>
      <c r="BR1" s="152">
        <f>COLUMN()</f>
        <v>70</v>
      </c>
      <c r="BS1" s="152">
        <f>COLUMN()</f>
        <v>71</v>
      </c>
      <c r="BT1" s="152">
        <f>COLUMN()</f>
        <v>72</v>
      </c>
      <c r="BU1" s="152">
        <f>COLUMN()</f>
        <v>73</v>
      </c>
      <c r="BV1" s="152">
        <f>COLUMN()</f>
        <v>74</v>
      </c>
      <c r="BW1" s="152">
        <f>COLUMN()</f>
        <v>75</v>
      </c>
      <c r="BX1" s="152">
        <f>COLUMN()</f>
        <v>76</v>
      </c>
      <c r="BY1" s="152">
        <f>COLUMN()</f>
        <v>77</v>
      </c>
      <c r="BZ1" s="152">
        <f>COLUMN()</f>
        <v>78</v>
      </c>
    </row>
    <row r="2" spans="1:80" ht="48" customHeight="1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</row>
    <row r="3" spans="1:80" ht="18" x14ac:dyDescent="0.25">
      <c r="A3" s="136" t="s">
        <v>89</v>
      </c>
      <c r="B3" s="137"/>
      <c r="C3" s="137"/>
      <c r="D3" s="137"/>
      <c r="E3" s="138"/>
      <c r="F3" s="140" t="s">
        <v>90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328" t="s">
        <v>91</v>
      </c>
      <c r="BR3" s="328"/>
      <c r="BS3" s="328"/>
      <c r="BT3" s="328"/>
      <c r="BU3" s="328"/>
      <c r="BV3" s="328"/>
      <c r="BW3" s="328"/>
      <c r="BX3" s="328"/>
      <c r="BY3" s="328"/>
      <c r="BZ3" s="328"/>
    </row>
    <row r="4" spans="1:80" s="93" customFormat="1" ht="29.25" x14ac:dyDescent="0.25">
      <c r="A4" s="128" t="s">
        <v>92</v>
      </c>
      <c r="B4" s="128" t="s">
        <v>92</v>
      </c>
      <c r="C4" s="331" t="s">
        <v>92</v>
      </c>
      <c r="D4" s="332"/>
      <c r="E4" s="128" t="s">
        <v>92</v>
      </c>
      <c r="F4" s="129" t="s">
        <v>93</v>
      </c>
      <c r="G4" s="342" t="s">
        <v>92</v>
      </c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343"/>
      <c r="BH4" s="343"/>
      <c r="BI4" s="343"/>
      <c r="BJ4" s="343"/>
      <c r="BK4" s="344"/>
      <c r="BL4" s="339" t="s">
        <v>92</v>
      </c>
      <c r="BM4" s="340"/>
      <c r="BN4" s="341"/>
      <c r="BO4" s="141" t="s">
        <v>92</v>
      </c>
      <c r="BP4" s="129" t="s">
        <v>92</v>
      </c>
      <c r="BQ4" s="322" t="s">
        <v>92</v>
      </c>
      <c r="BR4" s="323"/>
      <c r="BS4" s="323"/>
      <c r="BT4" s="323"/>
      <c r="BU4" s="322" t="s">
        <v>94</v>
      </c>
      <c r="BV4" s="323"/>
      <c r="BW4" s="323"/>
      <c r="BX4" s="324"/>
      <c r="BY4" s="143" t="s">
        <v>93</v>
      </c>
      <c r="BZ4" s="143" t="s">
        <v>93</v>
      </c>
    </row>
    <row r="5" spans="1:80" s="127" customFormat="1" ht="144.75" x14ac:dyDescent="0.25">
      <c r="A5" s="134" t="s">
        <v>95</v>
      </c>
      <c r="B5" s="134" t="s">
        <v>96</v>
      </c>
      <c r="C5" s="329" t="s">
        <v>97</v>
      </c>
      <c r="D5" s="330"/>
      <c r="E5" s="134" t="s">
        <v>98</v>
      </c>
      <c r="F5" s="135" t="s">
        <v>99</v>
      </c>
      <c r="G5" s="333" t="s">
        <v>100</v>
      </c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334"/>
      <c r="BI5" s="334"/>
      <c r="BJ5" s="334"/>
      <c r="BK5" s="335"/>
      <c r="BL5" s="336" t="s">
        <v>101</v>
      </c>
      <c r="BM5" s="337"/>
      <c r="BN5" s="338"/>
      <c r="BO5" s="142" t="s">
        <v>102</v>
      </c>
      <c r="BP5" s="135" t="s">
        <v>103</v>
      </c>
      <c r="BQ5" s="325" t="s">
        <v>104</v>
      </c>
      <c r="BR5" s="326"/>
      <c r="BS5" s="326"/>
      <c r="BT5" s="327"/>
      <c r="BU5" s="325" t="s">
        <v>105</v>
      </c>
      <c r="BV5" s="326"/>
      <c r="BW5" s="326"/>
      <c r="BX5" s="327"/>
      <c r="BY5" s="144" t="s">
        <v>106</v>
      </c>
      <c r="BZ5" s="144" t="s">
        <v>107</v>
      </c>
      <c r="CB5" s="93"/>
    </row>
    <row r="6" spans="1:80" s="118" customFormat="1" ht="90" customHeight="1" x14ac:dyDescent="0.25">
      <c r="A6" s="122" t="s">
        <v>89</v>
      </c>
      <c r="B6" s="130" t="s">
        <v>108</v>
      </c>
      <c r="C6" s="131" t="s">
        <v>109</v>
      </c>
      <c r="D6" s="131" t="s">
        <v>110</v>
      </c>
      <c r="E6" s="131" t="s">
        <v>111</v>
      </c>
      <c r="F6" s="121" t="s">
        <v>112</v>
      </c>
      <c r="G6" s="107">
        <v>1</v>
      </c>
      <c r="H6" s="107">
        <v>2</v>
      </c>
      <c r="I6" s="107">
        <v>3</v>
      </c>
      <c r="J6" s="107">
        <v>4</v>
      </c>
      <c r="K6" s="107">
        <v>5</v>
      </c>
      <c r="L6" s="107">
        <v>6</v>
      </c>
      <c r="M6" s="107">
        <v>7</v>
      </c>
      <c r="N6" s="107">
        <v>8</v>
      </c>
      <c r="O6" s="107">
        <v>9</v>
      </c>
      <c r="P6" s="107">
        <v>10</v>
      </c>
      <c r="Q6" s="107">
        <v>11</v>
      </c>
      <c r="R6" s="107">
        <v>12</v>
      </c>
      <c r="S6" s="107">
        <v>13</v>
      </c>
      <c r="T6" s="107">
        <v>14</v>
      </c>
      <c r="U6" s="107">
        <v>15</v>
      </c>
      <c r="V6" s="107">
        <v>16</v>
      </c>
      <c r="W6" s="107">
        <v>17</v>
      </c>
      <c r="X6" s="107">
        <v>18</v>
      </c>
      <c r="Y6" s="107">
        <v>19</v>
      </c>
      <c r="Z6" s="107">
        <v>20</v>
      </c>
      <c r="AA6" s="107">
        <v>21</v>
      </c>
      <c r="AB6" s="107">
        <v>22</v>
      </c>
      <c r="AC6" s="107">
        <v>23</v>
      </c>
      <c r="AD6" s="107">
        <v>24</v>
      </c>
      <c r="AE6" s="107">
        <v>25</v>
      </c>
      <c r="AF6" s="107">
        <v>26</v>
      </c>
      <c r="AG6" s="107">
        <v>27</v>
      </c>
      <c r="AH6" s="107">
        <v>28</v>
      </c>
      <c r="AI6" s="107">
        <v>29</v>
      </c>
      <c r="AJ6" s="107">
        <v>30</v>
      </c>
      <c r="AK6" s="107">
        <v>31</v>
      </c>
      <c r="AL6" s="107">
        <v>32</v>
      </c>
      <c r="AM6" s="107">
        <v>33</v>
      </c>
      <c r="AN6" s="107">
        <v>34</v>
      </c>
      <c r="AO6" s="107">
        <v>35</v>
      </c>
      <c r="AP6" s="107">
        <v>36</v>
      </c>
      <c r="AQ6" s="107">
        <v>37</v>
      </c>
      <c r="AR6" s="107">
        <v>38</v>
      </c>
      <c r="AS6" s="107">
        <v>39</v>
      </c>
      <c r="AT6" s="107">
        <v>40</v>
      </c>
      <c r="AU6" s="107">
        <v>41</v>
      </c>
      <c r="AV6" s="107">
        <v>42</v>
      </c>
      <c r="AW6" s="107">
        <v>43</v>
      </c>
      <c r="AX6" s="107">
        <v>44</v>
      </c>
      <c r="AY6" s="107">
        <v>45</v>
      </c>
      <c r="AZ6" s="107">
        <v>46</v>
      </c>
      <c r="BA6" s="107">
        <v>47</v>
      </c>
      <c r="BB6" s="107">
        <v>48</v>
      </c>
      <c r="BC6" s="107">
        <v>49</v>
      </c>
      <c r="BD6" s="107">
        <v>50</v>
      </c>
      <c r="BE6" s="107">
        <v>51</v>
      </c>
      <c r="BF6" s="107">
        <v>52</v>
      </c>
      <c r="BG6" s="107">
        <v>53</v>
      </c>
      <c r="BH6" s="107">
        <v>54</v>
      </c>
      <c r="BI6" s="107">
        <v>55</v>
      </c>
      <c r="BJ6" s="107">
        <v>56</v>
      </c>
      <c r="BK6" s="107">
        <v>57</v>
      </c>
      <c r="BL6" s="117" t="s">
        <v>113</v>
      </c>
      <c r="BM6" s="117" t="s">
        <v>12</v>
      </c>
      <c r="BN6" s="117" t="s">
        <v>114</v>
      </c>
      <c r="BO6" s="108" t="s">
        <v>115</v>
      </c>
      <c r="BP6" s="108" t="s">
        <v>116</v>
      </c>
      <c r="BQ6" s="123" t="s">
        <v>117</v>
      </c>
      <c r="BR6" s="123" t="s">
        <v>118</v>
      </c>
      <c r="BS6" s="123" t="s">
        <v>119</v>
      </c>
      <c r="BT6" s="123" t="s">
        <v>120</v>
      </c>
      <c r="BU6" s="124" t="s">
        <v>57</v>
      </c>
      <c r="BV6" s="124" t="s">
        <v>58</v>
      </c>
      <c r="BW6" s="124" t="s">
        <v>59</v>
      </c>
      <c r="BX6" s="124" t="s">
        <v>60</v>
      </c>
      <c r="BY6" s="150" t="s">
        <v>121</v>
      </c>
      <c r="BZ6" s="150" t="s">
        <v>122</v>
      </c>
    </row>
    <row r="7" spans="1:80" x14ac:dyDescent="0.25">
      <c r="A7" s="162" t="s">
        <v>123</v>
      </c>
      <c r="B7" s="163">
        <v>0</v>
      </c>
      <c r="C7" s="163"/>
      <c r="D7" s="163"/>
      <c r="E7" s="163"/>
      <c r="F7" s="164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4"/>
      <c r="BM7" s="164"/>
      <c r="BN7" s="164"/>
      <c r="BO7" s="166"/>
      <c r="BP7" s="166"/>
      <c r="BQ7" s="164"/>
      <c r="BR7" s="164"/>
      <c r="BS7" s="164"/>
      <c r="BT7" s="164"/>
      <c r="BU7" s="166"/>
      <c r="BV7" s="166"/>
      <c r="BW7" s="166"/>
      <c r="BX7" s="166"/>
      <c r="BY7" s="163"/>
      <c r="BZ7" s="163"/>
    </row>
    <row r="8" spans="1:80" x14ac:dyDescent="0.25">
      <c r="A8" s="111" t="s">
        <v>124</v>
      </c>
      <c r="B8" s="113">
        <v>1</v>
      </c>
      <c r="C8" s="113" t="s">
        <v>283</v>
      </c>
      <c r="D8" s="113" t="s">
        <v>284</v>
      </c>
      <c r="E8" s="113"/>
      <c r="F8" s="125">
        <f t="shared" ref="F8:F17" si="0">IF(A8="","",COUNTA(G8:BK8))</f>
        <v>48</v>
      </c>
      <c r="G8" s="112">
        <v>10</v>
      </c>
      <c r="H8" s="112">
        <v>11</v>
      </c>
      <c r="I8" s="112">
        <v>12</v>
      </c>
      <c r="J8" s="112">
        <v>13</v>
      </c>
      <c r="K8" s="112">
        <v>14</v>
      </c>
      <c r="L8" s="112">
        <v>15</v>
      </c>
      <c r="M8" s="112">
        <v>16</v>
      </c>
      <c r="N8" s="112">
        <v>17</v>
      </c>
      <c r="O8" s="112">
        <v>18</v>
      </c>
      <c r="P8" s="112">
        <v>19</v>
      </c>
      <c r="Q8" s="112">
        <v>20</v>
      </c>
      <c r="R8" s="112">
        <v>21</v>
      </c>
      <c r="S8" s="112">
        <v>22</v>
      </c>
      <c r="T8" s="112">
        <v>23</v>
      </c>
      <c r="U8" s="112">
        <v>24</v>
      </c>
      <c r="V8" s="112">
        <v>25</v>
      </c>
      <c r="W8" s="112">
        <v>26</v>
      </c>
      <c r="X8" s="112">
        <v>27</v>
      </c>
      <c r="Y8" s="112">
        <v>28</v>
      </c>
      <c r="Z8" s="112">
        <v>29</v>
      </c>
      <c r="AA8" s="112">
        <v>30</v>
      </c>
      <c r="AB8" s="112">
        <v>31</v>
      </c>
      <c r="AC8" s="112">
        <v>32</v>
      </c>
      <c r="AD8" s="112">
        <v>33</v>
      </c>
      <c r="AE8" s="112">
        <v>34</v>
      </c>
      <c r="AF8" s="112">
        <v>35</v>
      </c>
      <c r="AG8" s="112">
        <v>36</v>
      </c>
      <c r="AH8" s="112">
        <v>37</v>
      </c>
      <c r="AI8" s="112">
        <v>38</v>
      </c>
      <c r="AJ8" s="112">
        <v>39</v>
      </c>
      <c r="AK8" s="112">
        <v>40</v>
      </c>
      <c r="AL8" s="112">
        <v>41</v>
      </c>
      <c r="AM8" s="112">
        <v>42</v>
      </c>
      <c r="AN8" s="112">
        <v>43</v>
      </c>
      <c r="AO8" s="112">
        <v>44</v>
      </c>
      <c r="AP8" s="112">
        <v>45</v>
      </c>
      <c r="AQ8" s="112">
        <v>46</v>
      </c>
      <c r="AR8" s="112">
        <v>47</v>
      </c>
      <c r="AS8" s="112">
        <v>48</v>
      </c>
      <c r="AT8" s="112">
        <v>49</v>
      </c>
      <c r="AU8" s="112">
        <v>50</v>
      </c>
      <c r="AV8" s="112">
        <v>51</v>
      </c>
      <c r="AW8" s="112">
        <v>52</v>
      </c>
      <c r="AX8" s="112">
        <v>53</v>
      </c>
      <c r="AY8" s="112">
        <v>54</v>
      </c>
      <c r="AZ8" s="112">
        <v>55</v>
      </c>
      <c r="BA8" s="112">
        <v>56</v>
      </c>
      <c r="BB8" s="112">
        <v>57</v>
      </c>
      <c r="BC8" s="112"/>
      <c r="BD8" s="112"/>
      <c r="BE8" s="112"/>
      <c r="BF8" s="112"/>
      <c r="BG8" s="112"/>
      <c r="BH8" s="112"/>
      <c r="BI8" s="112"/>
      <c r="BJ8" s="112"/>
      <c r="BK8" s="112"/>
      <c r="BL8" s="113"/>
      <c r="BM8" s="113"/>
      <c r="BN8" s="113"/>
      <c r="BO8" s="113"/>
      <c r="BP8" s="113" t="s">
        <v>127</v>
      </c>
      <c r="BQ8" s="112" t="s">
        <v>57</v>
      </c>
      <c r="BR8" s="112" t="s">
        <v>58</v>
      </c>
      <c r="BS8" s="112" t="s">
        <v>59</v>
      </c>
      <c r="BT8" s="112" t="s">
        <v>60</v>
      </c>
      <c r="BU8" s="119">
        <f t="shared" ref="BU8:BX27" si="1">COUNTIF($BQ8:$BT8,BU$6)</f>
        <v>1</v>
      </c>
      <c r="BV8" s="119">
        <f t="shared" si="1"/>
        <v>1</v>
      </c>
      <c r="BW8" s="119">
        <f t="shared" si="1"/>
        <v>1</v>
      </c>
      <c r="BX8" s="119">
        <f t="shared" si="1"/>
        <v>1</v>
      </c>
      <c r="BY8" s="133" t="str">
        <f>IF($BU8=0,"N/A",IF(AND($BP8="Level 1-6 (3-57 point)",MIN($G8:$BK8)&lt;Thresholds_Rates!$C$13),"Yes","No"))</f>
        <v>Yes</v>
      </c>
      <c r="BZ8" s="133" t="str">
        <f>IF(SUM($BW8:$BX8)=0,"N/A",IF(AND($BP8="Level 1-6 (3-57 point)",MAX($G8:$BK8)&gt;Thresholds_Rates!$C$14),"Yes","No"))</f>
        <v>Yes</v>
      </c>
    </row>
    <row r="9" spans="1:80" x14ac:dyDescent="0.25">
      <c r="A9" s="111" t="s">
        <v>282</v>
      </c>
      <c r="B9" s="113">
        <v>1</v>
      </c>
      <c r="C9" s="113" t="s">
        <v>125</v>
      </c>
      <c r="D9" s="113" t="s">
        <v>126</v>
      </c>
      <c r="E9" s="113"/>
      <c r="F9" s="125">
        <f t="shared" si="0"/>
        <v>48</v>
      </c>
      <c r="G9" s="112">
        <v>10</v>
      </c>
      <c r="H9" s="112">
        <v>11</v>
      </c>
      <c r="I9" s="112">
        <v>12</v>
      </c>
      <c r="J9" s="112">
        <v>13</v>
      </c>
      <c r="K9" s="112">
        <v>14</v>
      </c>
      <c r="L9" s="112">
        <v>15</v>
      </c>
      <c r="M9" s="112">
        <v>16</v>
      </c>
      <c r="N9" s="112">
        <v>17</v>
      </c>
      <c r="O9" s="112">
        <v>18</v>
      </c>
      <c r="P9" s="112">
        <v>19</v>
      </c>
      <c r="Q9" s="112">
        <v>20</v>
      </c>
      <c r="R9" s="112">
        <v>21</v>
      </c>
      <c r="S9" s="112">
        <v>22</v>
      </c>
      <c r="T9" s="112">
        <v>23</v>
      </c>
      <c r="U9" s="112">
        <v>24</v>
      </c>
      <c r="V9" s="112">
        <v>25</v>
      </c>
      <c r="W9" s="112">
        <v>26</v>
      </c>
      <c r="X9" s="112">
        <v>27</v>
      </c>
      <c r="Y9" s="112">
        <v>28</v>
      </c>
      <c r="Z9" s="112">
        <v>29</v>
      </c>
      <c r="AA9" s="112">
        <v>30</v>
      </c>
      <c r="AB9" s="112">
        <v>31</v>
      </c>
      <c r="AC9" s="112">
        <v>32</v>
      </c>
      <c r="AD9" s="112">
        <v>33</v>
      </c>
      <c r="AE9" s="112">
        <v>34</v>
      </c>
      <c r="AF9" s="112">
        <v>35</v>
      </c>
      <c r="AG9" s="112">
        <v>36</v>
      </c>
      <c r="AH9" s="112">
        <v>37</v>
      </c>
      <c r="AI9" s="112">
        <v>38</v>
      </c>
      <c r="AJ9" s="112">
        <v>39</v>
      </c>
      <c r="AK9" s="112">
        <v>40</v>
      </c>
      <c r="AL9" s="112">
        <v>41</v>
      </c>
      <c r="AM9" s="112">
        <v>42</v>
      </c>
      <c r="AN9" s="112">
        <v>43</v>
      </c>
      <c r="AO9" s="112">
        <v>44</v>
      </c>
      <c r="AP9" s="112">
        <v>45</v>
      </c>
      <c r="AQ9" s="112">
        <v>46</v>
      </c>
      <c r="AR9" s="112">
        <v>47</v>
      </c>
      <c r="AS9" s="112">
        <v>48</v>
      </c>
      <c r="AT9" s="112">
        <v>49</v>
      </c>
      <c r="AU9" s="112">
        <v>50</v>
      </c>
      <c r="AV9" s="112">
        <v>51</v>
      </c>
      <c r="AW9" s="112">
        <v>52</v>
      </c>
      <c r="AX9" s="112">
        <v>53</v>
      </c>
      <c r="AY9" s="112">
        <v>54</v>
      </c>
      <c r="AZ9" s="112">
        <v>55</v>
      </c>
      <c r="BA9" s="112">
        <v>56</v>
      </c>
      <c r="BB9" s="112">
        <v>57</v>
      </c>
      <c r="BC9" s="112"/>
      <c r="BD9" s="112"/>
      <c r="BE9" s="112"/>
      <c r="BF9" s="112"/>
      <c r="BG9" s="112"/>
      <c r="BH9" s="112"/>
      <c r="BI9" s="112"/>
      <c r="BJ9" s="112"/>
      <c r="BK9" s="112"/>
      <c r="BL9" s="113"/>
      <c r="BM9" s="113"/>
      <c r="BN9" s="113"/>
      <c r="BO9" s="113"/>
      <c r="BP9" s="113" t="s">
        <v>127</v>
      </c>
      <c r="BQ9" s="112" t="s">
        <v>57</v>
      </c>
      <c r="BR9" s="112" t="s">
        <v>58</v>
      </c>
      <c r="BS9" s="112" t="s">
        <v>59</v>
      </c>
      <c r="BT9" s="112" t="s">
        <v>60</v>
      </c>
      <c r="BU9" s="119">
        <f t="shared" si="1"/>
        <v>1</v>
      </c>
      <c r="BV9" s="119">
        <f t="shared" si="1"/>
        <v>1</v>
      </c>
      <c r="BW9" s="119">
        <f t="shared" si="1"/>
        <v>1</v>
      </c>
      <c r="BX9" s="119">
        <f t="shared" si="1"/>
        <v>1</v>
      </c>
      <c r="BY9" s="133" t="str">
        <f>IF($BU9=0,"N/A",IF(AND($BP9="Level 1-6 (3-57 point)",MIN($G9:$BK9)&lt;Thresholds_Rates!$C$13),"Yes","No"))</f>
        <v>Yes</v>
      </c>
      <c r="BZ9" s="133" t="str">
        <f>IF(SUM($BW9:$BX9)=0,"N/A",IF(AND($BP9="Level 1-6 (3-57 point)",MAX($G9:$BK9)&gt;Thresholds_Rates!$C$14),"Yes","No"))</f>
        <v>Yes</v>
      </c>
    </row>
    <row r="10" spans="1:80" x14ac:dyDescent="0.25">
      <c r="A10" s="111" t="s">
        <v>128</v>
      </c>
      <c r="B10" s="113">
        <v>2</v>
      </c>
      <c r="C10" s="113" t="s">
        <v>283</v>
      </c>
      <c r="D10" s="113" t="s">
        <v>284</v>
      </c>
      <c r="E10" s="113"/>
      <c r="F10" s="125">
        <f t="shared" si="0"/>
        <v>3</v>
      </c>
      <c r="G10" s="112">
        <v>10</v>
      </c>
      <c r="H10" s="112">
        <v>11</v>
      </c>
      <c r="I10" s="112">
        <v>12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2">
        <v>8</v>
      </c>
      <c r="BM10" s="112">
        <v>11</v>
      </c>
      <c r="BN10" s="112">
        <v>12</v>
      </c>
      <c r="BO10" s="113"/>
      <c r="BP10" s="113" t="s">
        <v>127</v>
      </c>
      <c r="BQ10" s="112" t="s">
        <v>59</v>
      </c>
      <c r="BR10" s="112" t="s">
        <v>60</v>
      </c>
      <c r="BS10" s="113"/>
      <c r="BT10" s="113"/>
      <c r="BU10" s="119">
        <f t="shared" si="1"/>
        <v>0</v>
      </c>
      <c r="BV10" s="119">
        <f t="shared" si="1"/>
        <v>0</v>
      </c>
      <c r="BW10" s="119">
        <f t="shared" si="1"/>
        <v>1</v>
      </c>
      <c r="BX10" s="119">
        <f t="shared" si="1"/>
        <v>1</v>
      </c>
      <c r="BY10" s="133" t="str">
        <f>IF($BU10=0,"N/A",IF(AND($BP10="Level 1-6 (3-57 point)",MIN($G10:$BK10)&lt;Thresholds_Rates!$C$13),"Yes","No"))</f>
        <v>N/A</v>
      </c>
      <c r="BZ10" s="133" t="str">
        <f>IF(SUM($BW10:$BX10)=0,"N/A",IF(AND($BP10="Level 1-6 (3-57 point)",MAX($G10:$BK10)&gt;Thresholds_Rates!$C$14),"Yes","No"))</f>
        <v>No</v>
      </c>
    </row>
    <row r="11" spans="1:80" x14ac:dyDescent="0.25">
      <c r="A11" s="111" t="s">
        <v>129</v>
      </c>
      <c r="B11" s="113">
        <v>2</v>
      </c>
      <c r="C11" s="113" t="s">
        <v>283</v>
      </c>
      <c r="D11" s="113" t="s">
        <v>284</v>
      </c>
      <c r="E11" s="113"/>
      <c r="F11" s="125">
        <f t="shared" si="0"/>
        <v>9</v>
      </c>
      <c r="G11" s="112">
        <v>13</v>
      </c>
      <c r="H11" s="112">
        <v>14</v>
      </c>
      <c r="I11" s="112">
        <v>15</v>
      </c>
      <c r="J11" s="112">
        <v>16</v>
      </c>
      <c r="K11" s="112">
        <v>17</v>
      </c>
      <c r="L11" s="112">
        <v>18</v>
      </c>
      <c r="M11" s="112">
        <v>19</v>
      </c>
      <c r="N11" s="112">
        <v>20</v>
      </c>
      <c r="O11" s="113">
        <v>21</v>
      </c>
      <c r="P11" s="112"/>
      <c r="Q11" s="112"/>
      <c r="R11" s="112"/>
      <c r="S11" s="112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2">
        <v>13</v>
      </c>
      <c r="BM11" s="112">
        <v>18</v>
      </c>
      <c r="BN11" s="112">
        <v>21</v>
      </c>
      <c r="BO11" s="113"/>
      <c r="BP11" s="113" t="s">
        <v>127</v>
      </c>
      <c r="BQ11" s="112" t="s">
        <v>59</v>
      </c>
      <c r="BR11" s="112" t="s">
        <v>60</v>
      </c>
      <c r="BS11" s="113"/>
      <c r="BT11" s="113"/>
      <c r="BU11" s="119">
        <f t="shared" si="1"/>
        <v>0</v>
      </c>
      <c r="BV11" s="119">
        <f t="shared" si="1"/>
        <v>0</v>
      </c>
      <c r="BW11" s="119">
        <f t="shared" si="1"/>
        <v>1</v>
      </c>
      <c r="BX11" s="119">
        <f t="shared" si="1"/>
        <v>1</v>
      </c>
      <c r="BY11" s="133" t="str">
        <f>IF($BU11=0,"N/A",IF(AND($BP11="Level 1-6 (3-57 point)",MIN($G11:$BK11)&lt;Thresholds_Rates!$C$13),"Yes","No"))</f>
        <v>N/A</v>
      </c>
      <c r="BZ11" s="133" t="str">
        <f>IF(SUM($BW11:$BX11)=0,"N/A",IF(AND($BP11="Level 1-6 (3-57 point)",MAX($G11:$BK11)&gt;Thresholds_Rates!$C$14),"Yes","No"))</f>
        <v>No</v>
      </c>
    </row>
    <row r="12" spans="1:80" x14ac:dyDescent="0.25">
      <c r="A12" s="111" t="s">
        <v>130</v>
      </c>
      <c r="B12" s="113">
        <v>2</v>
      </c>
      <c r="C12" s="113" t="s">
        <v>283</v>
      </c>
      <c r="D12" s="113" t="s">
        <v>284</v>
      </c>
      <c r="E12" s="113"/>
      <c r="F12" s="125">
        <f t="shared" si="0"/>
        <v>11</v>
      </c>
      <c r="G12" s="112">
        <v>20</v>
      </c>
      <c r="H12" s="112">
        <v>21</v>
      </c>
      <c r="I12" s="112">
        <v>22</v>
      </c>
      <c r="J12" s="112">
        <v>23</v>
      </c>
      <c r="K12" s="112">
        <v>24</v>
      </c>
      <c r="L12" s="112">
        <v>25</v>
      </c>
      <c r="M12" s="112">
        <v>26</v>
      </c>
      <c r="N12" s="112">
        <v>27</v>
      </c>
      <c r="O12" s="112">
        <v>28</v>
      </c>
      <c r="P12" s="113">
        <v>29</v>
      </c>
      <c r="Q12" s="113">
        <v>30</v>
      </c>
      <c r="R12" s="112"/>
      <c r="S12" s="112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2">
        <v>20</v>
      </c>
      <c r="BM12" s="112">
        <v>27</v>
      </c>
      <c r="BN12" s="112">
        <v>30</v>
      </c>
      <c r="BO12" s="113"/>
      <c r="BP12" s="113" t="s">
        <v>127</v>
      </c>
      <c r="BQ12" s="112" t="s">
        <v>59</v>
      </c>
      <c r="BR12" s="112" t="s">
        <v>60</v>
      </c>
      <c r="BS12" s="113"/>
      <c r="BT12" s="113"/>
      <c r="BU12" s="119">
        <f t="shared" si="1"/>
        <v>0</v>
      </c>
      <c r="BV12" s="119">
        <f t="shared" si="1"/>
        <v>0</v>
      </c>
      <c r="BW12" s="119">
        <f t="shared" si="1"/>
        <v>1</v>
      </c>
      <c r="BX12" s="119">
        <f t="shared" si="1"/>
        <v>1</v>
      </c>
      <c r="BY12" s="133" t="str">
        <f>IF($BU12=0,"N/A",IF(AND($BP12="Level 1-6 (3-57 point)",MIN($G12:$BK12)&lt;Thresholds_Rates!$C$13),"Yes","No"))</f>
        <v>N/A</v>
      </c>
      <c r="BZ12" s="133" t="str">
        <f>IF(SUM($BW12:$BX12)=0,"N/A",IF(AND($BP12="Level 1-6 (3-57 point)",MAX($G12:$BK12)&gt;Thresholds_Rates!$C$14),"Yes","No"))</f>
        <v>No</v>
      </c>
    </row>
    <row r="13" spans="1:80" x14ac:dyDescent="0.25">
      <c r="A13" s="111" t="s">
        <v>49</v>
      </c>
      <c r="B13" s="113">
        <v>2</v>
      </c>
      <c r="C13" s="113" t="s">
        <v>125</v>
      </c>
      <c r="D13" s="113" t="s">
        <v>126</v>
      </c>
      <c r="E13" s="113"/>
      <c r="F13" s="125">
        <f t="shared" si="0"/>
        <v>13</v>
      </c>
      <c r="G13" s="112">
        <v>27</v>
      </c>
      <c r="H13" s="112">
        <v>28</v>
      </c>
      <c r="I13" s="112">
        <v>29</v>
      </c>
      <c r="J13" s="112">
        <v>30</v>
      </c>
      <c r="K13" s="112">
        <v>31</v>
      </c>
      <c r="L13" s="112">
        <v>32</v>
      </c>
      <c r="M13" s="112">
        <v>33</v>
      </c>
      <c r="N13" s="112">
        <v>34</v>
      </c>
      <c r="O13" s="112">
        <v>35</v>
      </c>
      <c r="P13" s="112">
        <v>36</v>
      </c>
      <c r="Q13" s="112">
        <v>37</v>
      </c>
      <c r="R13" s="112">
        <v>38</v>
      </c>
      <c r="S13" s="112">
        <v>39</v>
      </c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2">
        <v>27</v>
      </c>
      <c r="BM13" s="112">
        <v>37</v>
      </c>
      <c r="BN13" s="112">
        <v>39</v>
      </c>
      <c r="BO13" s="113"/>
      <c r="BP13" s="113" t="s">
        <v>127</v>
      </c>
      <c r="BQ13" s="112" t="s">
        <v>57</v>
      </c>
      <c r="BR13" s="113"/>
      <c r="BS13" s="113"/>
      <c r="BT13" s="113"/>
      <c r="BU13" s="119">
        <f t="shared" si="1"/>
        <v>1</v>
      </c>
      <c r="BV13" s="119">
        <f t="shared" si="1"/>
        <v>0</v>
      </c>
      <c r="BW13" s="119">
        <f t="shared" si="1"/>
        <v>0</v>
      </c>
      <c r="BX13" s="119">
        <f t="shared" si="1"/>
        <v>0</v>
      </c>
      <c r="BY13" s="133" t="str">
        <f>IF($BU13=0,"N/A",IF(AND($BP13="Level 1-6 (3-57 point)",MIN($G13:$BK13)&lt;Thresholds_Rates!$C$13),"Yes","No"))</f>
        <v>No</v>
      </c>
      <c r="BZ13" s="133" t="str">
        <f>IF(SUM($BW13:$BX13)=0,"N/A",IF(AND($BP13="Level 1-6 (3-57 point)",MAX($G13:$BK13)&gt;Thresholds_Rates!$C$14),"Yes","No"))</f>
        <v>N/A</v>
      </c>
    </row>
    <row r="14" spans="1:80" x14ac:dyDescent="0.25">
      <c r="A14" s="111" t="s">
        <v>131</v>
      </c>
      <c r="B14" s="113">
        <v>2</v>
      </c>
      <c r="C14" s="113" t="s">
        <v>125</v>
      </c>
      <c r="D14" s="113" t="s">
        <v>126</v>
      </c>
      <c r="E14" s="113"/>
      <c r="F14" s="125">
        <f t="shared" si="0"/>
        <v>4</v>
      </c>
      <c r="G14" s="112">
        <v>23</v>
      </c>
      <c r="H14" s="112">
        <v>24</v>
      </c>
      <c r="I14" s="112">
        <v>26</v>
      </c>
      <c r="J14" s="112">
        <v>27</v>
      </c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2">
        <v>23</v>
      </c>
      <c r="BM14" s="112"/>
      <c r="BN14" s="112"/>
      <c r="BO14" s="113"/>
      <c r="BP14" s="113" t="s">
        <v>127</v>
      </c>
      <c r="BQ14" s="112" t="s">
        <v>57</v>
      </c>
      <c r="BR14" s="113"/>
      <c r="BS14" s="113"/>
      <c r="BT14" s="113"/>
      <c r="BU14" s="119">
        <f t="shared" si="1"/>
        <v>1</v>
      </c>
      <c r="BV14" s="119">
        <f t="shared" si="1"/>
        <v>0</v>
      </c>
      <c r="BW14" s="119">
        <f t="shared" si="1"/>
        <v>0</v>
      </c>
      <c r="BX14" s="119">
        <f t="shared" si="1"/>
        <v>0</v>
      </c>
      <c r="BY14" s="133" t="str">
        <f>IF($BU14=0,"N/A",IF(AND($BP14="Level 1-6 (3-57 point)",MIN($G14:$BK14)&lt;Thresholds_Rates!$C$13),"Yes","No"))</f>
        <v>No</v>
      </c>
      <c r="BZ14" s="133" t="str">
        <f>IF(SUM($BW14:$BX14)=0,"N/A",IF(AND($BP14="Level 1-6 (3-57 point)",MAX($G14:$BK14)&gt;Thresholds_Rates!$C$14),"Yes","No"))</f>
        <v>N/A</v>
      </c>
    </row>
    <row r="15" spans="1:80" x14ac:dyDescent="0.25">
      <c r="A15" s="111" t="s">
        <v>132</v>
      </c>
      <c r="B15" s="113">
        <v>2</v>
      </c>
      <c r="C15" s="113" t="s">
        <v>125</v>
      </c>
      <c r="D15" s="113" t="s">
        <v>126</v>
      </c>
      <c r="E15" s="113"/>
      <c r="F15" s="125">
        <f t="shared" si="0"/>
        <v>13</v>
      </c>
      <c r="G15" s="112">
        <v>36</v>
      </c>
      <c r="H15" s="112">
        <v>37</v>
      </c>
      <c r="I15" s="112">
        <v>38</v>
      </c>
      <c r="J15" s="112">
        <v>39</v>
      </c>
      <c r="K15" s="112">
        <v>40</v>
      </c>
      <c r="L15" s="112">
        <v>41</v>
      </c>
      <c r="M15" s="112">
        <v>42</v>
      </c>
      <c r="N15" s="112">
        <v>43</v>
      </c>
      <c r="O15" s="112">
        <v>44</v>
      </c>
      <c r="P15" s="112">
        <v>45</v>
      </c>
      <c r="Q15" s="112">
        <v>46</v>
      </c>
      <c r="R15" s="112">
        <v>47</v>
      </c>
      <c r="S15" s="112">
        <v>48</v>
      </c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2">
        <v>36</v>
      </c>
      <c r="BM15" s="112">
        <v>44</v>
      </c>
      <c r="BN15" s="112">
        <v>48</v>
      </c>
      <c r="BO15" s="113"/>
      <c r="BP15" s="113" t="s">
        <v>127</v>
      </c>
      <c r="BQ15" s="112" t="s">
        <v>57</v>
      </c>
      <c r="BR15" s="113"/>
      <c r="BS15" s="113"/>
      <c r="BT15" s="113"/>
      <c r="BU15" s="119">
        <f t="shared" si="1"/>
        <v>1</v>
      </c>
      <c r="BV15" s="119">
        <f t="shared" si="1"/>
        <v>0</v>
      </c>
      <c r="BW15" s="119">
        <f t="shared" si="1"/>
        <v>0</v>
      </c>
      <c r="BX15" s="119">
        <f t="shared" si="1"/>
        <v>0</v>
      </c>
      <c r="BY15" s="133" t="str">
        <f>IF($BU15=0,"N/A",IF(AND($BP15="Level 1-6 (3-57 point)",MIN($G15:$BK15)&lt;Thresholds_Rates!$C$13),"Yes","No"))</f>
        <v>No</v>
      </c>
      <c r="BZ15" s="133" t="str">
        <f>IF(SUM($BW15:$BX15)=0,"N/A",IF(AND($BP15="Level 1-6 (3-57 point)",MAX($G15:$BK15)&gt;Thresholds_Rates!$C$14),"Yes","No"))</f>
        <v>N/A</v>
      </c>
    </row>
    <row r="16" spans="1:80" x14ac:dyDescent="0.25">
      <c r="A16" s="111" t="s">
        <v>133</v>
      </c>
      <c r="B16" s="113">
        <v>2</v>
      </c>
      <c r="C16" s="113" t="s">
        <v>125</v>
      </c>
      <c r="D16" s="113" t="s">
        <v>126</v>
      </c>
      <c r="E16" s="113"/>
      <c r="F16" s="125">
        <f t="shared" si="0"/>
        <v>13</v>
      </c>
      <c r="G16" s="112">
        <v>45</v>
      </c>
      <c r="H16" s="112">
        <v>46</v>
      </c>
      <c r="I16" s="112">
        <v>47</v>
      </c>
      <c r="J16" s="112">
        <v>48</v>
      </c>
      <c r="K16" s="112">
        <v>49</v>
      </c>
      <c r="L16" s="112">
        <v>50</v>
      </c>
      <c r="M16" s="112">
        <v>51</v>
      </c>
      <c r="N16" s="112">
        <v>52</v>
      </c>
      <c r="O16" s="112">
        <v>53</v>
      </c>
      <c r="P16" s="112">
        <v>54</v>
      </c>
      <c r="Q16" s="112">
        <v>55</v>
      </c>
      <c r="R16" s="112">
        <v>56</v>
      </c>
      <c r="S16" s="112">
        <v>57</v>
      </c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2">
        <v>45</v>
      </c>
      <c r="BM16" s="112">
        <v>52</v>
      </c>
      <c r="BN16" s="112">
        <v>57</v>
      </c>
      <c r="BO16" s="113"/>
      <c r="BP16" s="113" t="s">
        <v>127</v>
      </c>
      <c r="BQ16" s="112" t="s">
        <v>57</v>
      </c>
      <c r="BR16" s="113"/>
      <c r="BS16" s="113"/>
      <c r="BT16" s="113"/>
      <c r="BU16" s="119">
        <f t="shared" si="1"/>
        <v>1</v>
      </c>
      <c r="BV16" s="119">
        <f t="shared" si="1"/>
        <v>0</v>
      </c>
      <c r="BW16" s="119">
        <f t="shared" si="1"/>
        <v>0</v>
      </c>
      <c r="BX16" s="119">
        <f t="shared" si="1"/>
        <v>0</v>
      </c>
      <c r="BY16" s="133" t="str">
        <f>IF($BU16=0,"N/A",IF(AND($BP16="Level 1-6 (3-57 point)",MIN($G16:$BK16)&lt;Thresholds_Rates!$C$13),"Yes","No"))</f>
        <v>No</v>
      </c>
      <c r="BZ16" s="133" t="str">
        <f>IF(SUM($BW16:$BX16)=0,"N/A",IF(AND($BP16="Level 1-6 (3-57 point)",MAX($G16:$BK16)&gt;Thresholds_Rates!$C$14),"Yes","No"))</f>
        <v>N/A</v>
      </c>
    </row>
    <row r="17" spans="1:78" x14ac:dyDescent="0.25">
      <c r="A17" s="111" t="s">
        <v>134</v>
      </c>
      <c r="B17" s="113">
        <v>2</v>
      </c>
      <c r="C17" s="113" t="s">
        <v>135</v>
      </c>
      <c r="D17" s="113" t="s">
        <v>136</v>
      </c>
      <c r="E17" s="113"/>
      <c r="F17" s="125">
        <f t="shared" si="0"/>
        <v>26</v>
      </c>
      <c r="G17" s="112">
        <v>1</v>
      </c>
      <c r="H17" s="112">
        <v>2</v>
      </c>
      <c r="I17" s="112">
        <v>3</v>
      </c>
      <c r="J17" s="112">
        <v>4</v>
      </c>
      <c r="K17" s="112">
        <v>5</v>
      </c>
      <c r="L17" s="112">
        <v>6</v>
      </c>
      <c r="M17" s="112">
        <v>7</v>
      </c>
      <c r="N17" s="112">
        <v>8</v>
      </c>
      <c r="O17" s="112">
        <v>9</v>
      </c>
      <c r="P17" s="112">
        <v>10</v>
      </c>
      <c r="Q17" s="112">
        <v>11</v>
      </c>
      <c r="R17" s="112">
        <v>12</v>
      </c>
      <c r="S17" s="112">
        <v>13</v>
      </c>
      <c r="T17" s="112">
        <v>14</v>
      </c>
      <c r="U17" s="112">
        <v>15</v>
      </c>
      <c r="V17" s="112">
        <v>16</v>
      </c>
      <c r="W17" s="112">
        <v>17</v>
      </c>
      <c r="X17" s="112">
        <v>18</v>
      </c>
      <c r="Y17" s="112">
        <v>19</v>
      </c>
      <c r="Z17" s="112">
        <v>20</v>
      </c>
      <c r="AA17" s="112">
        <v>21</v>
      </c>
      <c r="AB17" s="112">
        <v>22</v>
      </c>
      <c r="AC17" s="112">
        <v>23</v>
      </c>
      <c r="AD17" s="112">
        <v>24</v>
      </c>
      <c r="AE17" s="112">
        <v>25</v>
      </c>
      <c r="AF17" s="112">
        <v>26</v>
      </c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2">
        <v>1</v>
      </c>
      <c r="BM17" s="112">
        <v>17</v>
      </c>
      <c r="BN17" s="112">
        <v>26</v>
      </c>
      <c r="BO17" s="113"/>
      <c r="BP17" s="113" t="s">
        <v>137</v>
      </c>
      <c r="BQ17" s="112" t="s">
        <v>57</v>
      </c>
      <c r="BR17" s="113"/>
      <c r="BS17" s="113"/>
      <c r="BT17" s="113"/>
      <c r="BU17" s="119">
        <f t="shared" si="1"/>
        <v>1</v>
      </c>
      <c r="BV17" s="119">
        <f t="shared" si="1"/>
        <v>0</v>
      </c>
      <c r="BW17" s="119">
        <f t="shared" si="1"/>
        <v>0</v>
      </c>
      <c r="BX17" s="119">
        <f t="shared" si="1"/>
        <v>0</v>
      </c>
      <c r="BY17" s="133" t="str">
        <f>IF($BU17=0,"N/A",IF(AND($BP17="Level 1-6 (3-57 point)",MIN($G17:$BK17)&lt;Thresholds_Rates!$C$13),"Yes","No"))</f>
        <v>No</v>
      </c>
      <c r="BZ17" s="133" t="str">
        <f>IF(SUM($BW17:$BX17)=0,"N/A",IF(AND($BP17="Level 1-6 (3-57 point)",MAX($G17:$BK17)&gt;Thresholds_Rates!$C$14),"Yes","No"))</f>
        <v>N/A</v>
      </c>
    </row>
    <row r="18" spans="1:78" x14ac:dyDescent="0.25">
      <c r="A18" s="225" t="s">
        <v>138</v>
      </c>
      <c r="B18" s="113">
        <v>2</v>
      </c>
      <c r="C18" s="113" t="s">
        <v>139</v>
      </c>
      <c r="D18" s="113" t="s">
        <v>263</v>
      </c>
      <c r="E18" s="113"/>
      <c r="F18" s="125">
        <f>IF(A18="","",COUNTA(G18:BI18))</f>
        <v>11</v>
      </c>
      <c r="G18" s="231">
        <v>1</v>
      </c>
      <c r="H18" s="231">
        <v>2</v>
      </c>
      <c r="I18" s="231">
        <v>3</v>
      </c>
      <c r="J18" s="231">
        <v>4</v>
      </c>
      <c r="K18" s="231">
        <v>5</v>
      </c>
      <c r="L18" s="231">
        <v>6</v>
      </c>
      <c r="M18" s="231">
        <v>7</v>
      </c>
      <c r="N18" s="231">
        <v>8</v>
      </c>
      <c r="O18" s="231">
        <v>9</v>
      </c>
      <c r="P18" s="231">
        <v>10</v>
      </c>
      <c r="Q18" s="231">
        <v>11</v>
      </c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2"/>
      <c r="BK18" s="112"/>
      <c r="BL18" s="112"/>
      <c r="BM18" s="113"/>
      <c r="BN18" s="113"/>
      <c r="BO18" s="113"/>
      <c r="BP18" s="113" t="s">
        <v>127</v>
      </c>
      <c r="BQ18" s="112" t="s">
        <v>59</v>
      </c>
      <c r="BR18" s="112" t="s">
        <v>60</v>
      </c>
      <c r="BS18" s="113"/>
      <c r="BT18" s="113"/>
      <c r="BU18" s="119">
        <f t="shared" si="1"/>
        <v>0</v>
      </c>
      <c r="BV18" s="119">
        <f t="shared" si="1"/>
        <v>0</v>
      </c>
      <c r="BW18" s="119">
        <f t="shared" si="1"/>
        <v>1</v>
      </c>
      <c r="BX18" s="119">
        <f t="shared" si="1"/>
        <v>1</v>
      </c>
      <c r="BY18" s="133" t="str">
        <f>IF($BU18=0,"N/A",IF(AND($BP18="Level 1-6 (3-57 point)",MIN($G18:$BK18)&lt;Thresholds_Rates!$C$13),"Yes","No"))</f>
        <v>N/A</v>
      </c>
      <c r="BZ18" s="133" t="str">
        <f>IF(SUM($BW18:$BX18)=0,"N/A",IF(AND($BP18="Level 1-6 (3-57 point)",MAX($G18:$BK18)&gt;Thresholds_Rates!$C$14),"Yes","No"))</f>
        <v>No</v>
      </c>
    </row>
    <row r="19" spans="1:78" x14ac:dyDescent="0.25">
      <c r="A19" s="111" t="s">
        <v>140</v>
      </c>
      <c r="B19" s="113">
        <v>2</v>
      </c>
      <c r="C19" s="113" t="s">
        <v>141</v>
      </c>
      <c r="D19" s="113" t="s">
        <v>264</v>
      </c>
      <c r="E19" s="113"/>
      <c r="F19" s="125">
        <f t="shared" ref="F19:F49" si="2">IF(A19="","",COUNTA(G19:BK19))</f>
        <v>3</v>
      </c>
      <c r="G19" s="112">
        <v>13</v>
      </c>
      <c r="H19" s="112">
        <v>14</v>
      </c>
      <c r="I19" s="112">
        <v>15</v>
      </c>
      <c r="J19" s="112"/>
      <c r="K19" s="112"/>
      <c r="L19" s="112"/>
      <c r="M19" s="112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2">
        <v>9</v>
      </c>
      <c r="BM19" s="112">
        <v>13</v>
      </c>
      <c r="BN19" s="112">
        <v>15</v>
      </c>
      <c r="BO19" s="113"/>
      <c r="BP19" s="113" t="s">
        <v>127</v>
      </c>
      <c r="BQ19" s="112" t="s">
        <v>59</v>
      </c>
      <c r="BR19" s="112" t="s">
        <v>60</v>
      </c>
      <c r="BS19" s="113"/>
      <c r="BT19" s="113"/>
      <c r="BU19" s="119">
        <f t="shared" si="1"/>
        <v>0</v>
      </c>
      <c r="BV19" s="119">
        <f t="shared" si="1"/>
        <v>0</v>
      </c>
      <c r="BW19" s="119">
        <f t="shared" si="1"/>
        <v>1</v>
      </c>
      <c r="BX19" s="119">
        <f t="shared" si="1"/>
        <v>1</v>
      </c>
      <c r="BY19" s="133" t="str">
        <f>IF($BU19=0,"N/A",IF(AND($BP19="Level 1-6 (3-57 point)",MIN($G19:$BK19)&lt;Thresholds_Rates!$C$13),"Yes","No"))</f>
        <v>N/A</v>
      </c>
      <c r="BZ19" s="133" t="str">
        <f>IF(SUM($BW19:$BX19)=0,"N/A",IF(AND($BP19="Level 1-6 (3-57 point)",MAX($G19:$BK19)&gt;Thresholds_Rates!$C$14),"Yes","No"))</f>
        <v>No</v>
      </c>
    </row>
    <row r="20" spans="1:78" x14ac:dyDescent="0.25">
      <c r="A20" s="111" t="s">
        <v>142</v>
      </c>
      <c r="B20" s="113">
        <v>2</v>
      </c>
      <c r="C20" s="113" t="s">
        <v>141</v>
      </c>
      <c r="D20" s="113" t="s">
        <v>264</v>
      </c>
      <c r="E20" s="113"/>
      <c r="F20" s="125">
        <f t="shared" si="2"/>
        <v>7</v>
      </c>
      <c r="G20" s="112">
        <v>16</v>
      </c>
      <c r="H20" s="112">
        <v>17</v>
      </c>
      <c r="I20" s="112">
        <v>18</v>
      </c>
      <c r="J20" s="112">
        <v>19</v>
      </c>
      <c r="K20" s="112">
        <v>20</v>
      </c>
      <c r="L20" s="112">
        <v>21</v>
      </c>
      <c r="M20" s="112">
        <v>22</v>
      </c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2">
        <v>16</v>
      </c>
      <c r="BM20" s="112">
        <v>20</v>
      </c>
      <c r="BN20" s="112">
        <v>22</v>
      </c>
      <c r="BO20" s="113"/>
      <c r="BP20" s="113" t="s">
        <v>127</v>
      </c>
      <c r="BQ20" s="112" t="s">
        <v>59</v>
      </c>
      <c r="BR20" s="112" t="s">
        <v>60</v>
      </c>
      <c r="BS20" s="113"/>
      <c r="BT20" s="113"/>
      <c r="BU20" s="119">
        <f t="shared" si="1"/>
        <v>0</v>
      </c>
      <c r="BV20" s="119">
        <f t="shared" si="1"/>
        <v>0</v>
      </c>
      <c r="BW20" s="119">
        <f t="shared" si="1"/>
        <v>1</v>
      </c>
      <c r="BX20" s="119">
        <f t="shared" si="1"/>
        <v>1</v>
      </c>
      <c r="BY20" s="133" t="str">
        <f>IF($BU20=0,"N/A",IF(AND($BP20="Level 1-6 (3-57 point)",MIN($G20:$BK20)&lt;Thresholds_Rates!$C$13),"Yes","No"))</f>
        <v>N/A</v>
      </c>
      <c r="BZ20" s="133" t="str">
        <f>IF(SUM($BW20:$BX20)=0,"N/A",IF(AND($BP20="Level 1-6 (3-57 point)",MAX($G20:$BK20)&gt;Thresholds_Rates!$C$14),"Yes","No"))</f>
        <v>No</v>
      </c>
    </row>
    <row r="21" spans="1:78" x14ac:dyDescent="0.25">
      <c r="A21" s="113" t="s">
        <v>143</v>
      </c>
      <c r="B21" s="113">
        <v>2</v>
      </c>
      <c r="C21" s="113" t="s">
        <v>144</v>
      </c>
      <c r="D21" s="113" t="s">
        <v>145</v>
      </c>
      <c r="E21" s="132"/>
      <c r="F21" s="125">
        <f t="shared" si="2"/>
        <v>5</v>
      </c>
      <c r="G21" s="112">
        <v>1</v>
      </c>
      <c r="H21" s="112">
        <v>2</v>
      </c>
      <c r="I21" s="112">
        <v>3</v>
      </c>
      <c r="J21" s="112">
        <v>4</v>
      </c>
      <c r="K21" s="112">
        <v>5</v>
      </c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 t="s">
        <v>146</v>
      </c>
      <c r="BQ21" s="112" t="s">
        <v>57</v>
      </c>
      <c r="BR21" s="112" t="s">
        <v>58</v>
      </c>
      <c r="BS21" s="113"/>
      <c r="BT21" s="113"/>
      <c r="BU21" s="119">
        <f t="shared" si="1"/>
        <v>1</v>
      </c>
      <c r="BV21" s="119">
        <f t="shared" si="1"/>
        <v>1</v>
      </c>
      <c r="BW21" s="119">
        <f t="shared" si="1"/>
        <v>0</v>
      </c>
      <c r="BX21" s="119">
        <f t="shared" si="1"/>
        <v>0</v>
      </c>
      <c r="BY21" s="133" t="str">
        <f>IF($BU21=0,"N/A",IF(AND($BP21="Level 1-6 (3-57 point)",MIN($G21:$BK21)&lt;Thresholds_Rates!$C$13),"Yes","No"))</f>
        <v>No</v>
      </c>
      <c r="BZ21" s="133" t="str">
        <f>IF(SUM($BW21:$BX21)=0,"N/A",IF(AND($BP21="Level 1-6 (3-57 point)",MAX($G21:$BK21)&gt;Thresholds_Rates!$C$14),"Yes","No"))</f>
        <v>N/A</v>
      </c>
    </row>
    <row r="22" spans="1:78" x14ac:dyDescent="0.25">
      <c r="A22" s="111" t="s">
        <v>147</v>
      </c>
      <c r="B22" s="113">
        <v>2</v>
      </c>
      <c r="C22" s="113" t="s">
        <v>148</v>
      </c>
      <c r="D22" s="113" t="s">
        <v>149</v>
      </c>
      <c r="E22" s="113"/>
      <c r="F22" s="125">
        <f t="shared" si="2"/>
        <v>5</v>
      </c>
      <c r="G22" s="112">
        <v>19</v>
      </c>
      <c r="H22" s="112">
        <v>20</v>
      </c>
      <c r="I22" s="112">
        <v>21</v>
      </c>
      <c r="J22" s="112">
        <v>22</v>
      </c>
      <c r="K22" s="112">
        <v>23</v>
      </c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2"/>
      <c r="BM22" s="112"/>
      <c r="BN22" s="112"/>
      <c r="BO22" s="113"/>
      <c r="BP22" s="113" t="s">
        <v>146</v>
      </c>
      <c r="BQ22" s="112" t="s">
        <v>57</v>
      </c>
      <c r="BR22" s="112" t="s">
        <v>58</v>
      </c>
      <c r="BS22" s="113"/>
      <c r="BT22" s="113"/>
      <c r="BU22" s="119">
        <f t="shared" si="1"/>
        <v>1</v>
      </c>
      <c r="BV22" s="119">
        <f t="shared" si="1"/>
        <v>1</v>
      </c>
      <c r="BW22" s="119">
        <f t="shared" si="1"/>
        <v>0</v>
      </c>
      <c r="BX22" s="119">
        <f t="shared" si="1"/>
        <v>0</v>
      </c>
      <c r="BY22" s="133" t="str">
        <f>IF($BU22=0,"N/A",IF(AND($BP22="Level 1-6 (3-57 point)",MIN($G22:$BK22)&lt;Thresholds_Rates!$C$13),"Yes","No"))</f>
        <v>No</v>
      </c>
      <c r="BZ22" s="133" t="str">
        <f>IF(SUM($BW22:$BX22)=0,"N/A",IF(AND($BP22="Level 1-6 (3-57 point)",MAX($G22:$BK22)&gt;Thresholds_Rates!$C$14),"Yes","No"))</f>
        <v>N/A</v>
      </c>
    </row>
    <row r="23" spans="1:78" x14ac:dyDescent="0.25">
      <c r="A23" s="111" t="s">
        <v>150</v>
      </c>
      <c r="B23" s="113">
        <v>2</v>
      </c>
      <c r="C23" s="113" t="s">
        <v>148</v>
      </c>
      <c r="D23" s="113" t="s">
        <v>149</v>
      </c>
      <c r="E23" s="113"/>
      <c r="F23" s="125">
        <f t="shared" si="2"/>
        <v>11</v>
      </c>
      <c r="G23" s="112">
        <v>1</v>
      </c>
      <c r="H23" s="112">
        <v>2</v>
      </c>
      <c r="I23" s="112">
        <v>3</v>
      </c>
      <c r="J23" s="112">
        <v>4</v>
      </c>
      <c r="K23" s="112">
        <v>5</v>
      </c>
      <c r="L23" s="112">
        <v>6</v>
      </c>
      <c r="M23" s="112">
        <v>7</v>
      </c>
      <c r="N23" s="112">
        <v>8</v>
      </c>
      <c r="O23" s="112">
        <v>9</v>
      </c>
      <c r="P23" s="112">
        <v>10</v>
      </c>
      <c r="Q23" s="112">
        <v>11</v>
      </c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2"/>
      <c r="BM23" s="112"/>
      <c r="BN23" s="112"/>
      <c r="BO23" s="113"/>
      <c r="BP23" s="113" t="s">
        <v>146</v>
      </c>
      <c r="BQ23" s="112" t="s">
        <v>57</v>
      </c>
      <c r="BR23" s="112" t="s">
        <v>58</v>
      </c>
      <c r="BS23" s="113"/>
      <c r="BT23" s="113"/>
      <c r="BU23" s="119">
        <f t="shared" si="1"/>
        <v>1</v>
      </c>
      <c r="BV23" s="119">
        <f t="shared" si="1"/>
        <v>1</v>
      </c>
      <c r="BW23" s="119">
        <f t="shared" si="1"/>
        <v>0</v>
      </c>
      <c r="BX23" s="119">
        <f t="shared" si="1"/>
        <v>0</v>
      </c>
      <c r="BY23" s="133" t="str">
        <f>IF($BU23=0,"N/A",IF(AND($BP23="Level 1-6 (3-57 point)",MIN($G23:$BK23)&lt;Thresholds_Rates!$C$13),"Yes","No"))</f>
        <v>No</v>
      </c>
      <c r="BZ23" s="133" t="str">
        <f>IF(SUM($BW23:$BX23)=0,"N/A",IF(AND($BP23="Level 1-6 (3-57 point)",MAX($G23:$BK23)&gt;Thresholds_Rates!$C$14),"Yes","No"))</f>
        <v>N/A</v>
      </c>
    </row>
    <row r="24" spans="1:78" x14ac:dyDescent="0.25">
      <c r="A24" s="111" t="s">
        <v>151</v>
      </c>
      <c r="B24" s="113">
        <v>2</v>
      </c>
      <c r="C24" s="113" t="s">
        <v>152</v>
      </c>
      <c r="D24" s="113" t="s">
        <v>153</v>
      </c>
      <c r="E24" s="113"/>
      <c r="F24" s="125">
        <f t="shared" si="2"/>
        <v>8</v>
      </c>
      <c r="G24" s="112">
        <v>1</v>
      </c>
      <c r="H24" s="112">
        <v>2</v>
      </c>
      <c r="I24" s="112">
        <v>3</v>
      </c>
      <c r="J24" s="112">
        <v>4</v>
      </c>
      <c r="K24" s="112">
        <v>5</v>
      </c>
      <c r="L24" s="112">
        <v>6</v>
      </c>
      <c r="M24" s="112">
        <v>7</v>
      </c>
      <c r="N24" s="112">
        <v>8</v>
      </c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2"/>
      <c r="BM24" s="112"/>
      <c r="BN24" s="112"/>
      <c r="BO24" s="113"/>
      <c r="BP24" s="113" t="s">
        <v>146</v>
      </c>
      <c r="BQ24" s="112" t="s">
        <v>57</v>
      </c>
      <c r="BR24" s="112" t="s">
        <v>58</v>
      </c>
      <c r="BS24" s="113"/>
      <c r="BT24" s="113"/>
      <c r="BU24" s="119">
        <f t="shared" si="1"/>
        <v>1</v>
      </c>
      <c r="BV24" s="119">
        <f t="shared" si="1"/>
        <v>1</v>
      </c>
      <c r="BW24" s="119">
        <f t="shared" si="1"/>
        <v>0</v>
      </c>
      <c r="BX24" s="119">
        <f t="shared" si="1"/>
        <v>0</v>
      </c>
      <c r="BY24" s="133" t="str">
        <f>IF($BU24=0,"N/A",IF(AND($BP24="Level 1-6 (3-57 point)",MIN($G24:$BK24)&lt;Thresholds_Rates!$C$13),"Yes","No"))</f>
        <v>No</v>
      </c>
      <c r="BZ24" s="133" t="str">
        <f>IF(SUM($BW24:$BX24)=0,"N/A",IF(AND($BP24="Level 1-6 (3-57 point)",MAX($G24:$BK24)&gt;Thresholds_Rates!$C$14),"Yes","No"))</f>
        <v>N/A</v>
      </c>
    </row>
    <row r="25" spans="1:78" ht="72" x14ac:dyDescent="0.25">
      <c r="A25" s="111" t="s">
        <v>241</v>
      </c>
      <c r="B25" s="113">
        <v>2</v>
      </c>
      <c r="C25" s="113" t="s">
        <v>283</v>
      </c>
      <c r="D25" s="113" t="s">
        <v>284</v>
      </c>
      <c r="E25" s="132" t="s">
        <v>260</v>
      </c>
      <c r="F25" s="125">
        <f t="shared" si="2"/>
        <v>3</v>
      </c>
      <c r="G25" s="112">
        <v>10</v>
      </c>
      <c r="H25" s="112">
        <v>11</v>
      </c>
      <c r="I25" s="112">
        <v>12</v>
      </c>
      <c r="J25" s="112"/>
      <c r="K25" s="112"/>
      <c r="L25" s="112"/>
      <c r="M25" s="112"/>
      <c r="N25" s="112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2">
        <v>8</v>
      </c>
      <c r="BM25" s="112">
        <v>11</v>
      </c>
      <c r="BN25" s="112">
        <v>12</v>
      </c>
      <c r="BO25" s="113"/>
      <c r="BP25" s="113" t="s">
        <v>127</v>
      </c>
      <c r="BQ25" s="112" t="s">
        <v>59</v>
      </c>
      <c r="BR25" s="112" t="s">
        <v>60</v>
      </c>
      <c r="BS25" s="113"/>
      <c r="BT25" s="113"/>
      <c r="BU25" s="119">
        <f t="shared" si="1"/>
        <v>0</v>
      </c>
      <c r="BV25" s="119">
        <f t="shared" si="1"/>
        <v>0</v>
      </c>
      <c r="BW25" s="119">
        <f t="shared" si="1"/>
        <v>1</v>
      </c>
      <c r="BX25" s="119">
        <f t="shared" si="1"/>
        <v>1</v>
      </c>
      <c r="BY25" s="133" t="str">
        <f>IF($BU25=0,"N/A",IF(AND($BP25="Level 1-6 (3-57 point)",MIN($G25:$BK25)&lt;Thresholds_Rates!$C$13),"Yes","No"))</f>
        <v>N/A</v>
      </c>
      <c r="BZ25" s="133" t="str">
        <f>IF(SUM($BW25:$BX25)=0,"N/A",IF(AND($BP25="Level 1-6 (3-57 point)",MAX($G25:$BK25)&gt;Thresholds_Rates!$C$14),"Yes","No"))</f>
        <v>No</v>
      </c>
    </row>
    <row r="26" spans="1:78" ht="72" x14ac:dyDescent="0.25">
      <c r="A26" s="111" t="s">
        <v>242</v>
      </c>
      <c r="B26" s="113">
        <v>2</v>
      </c>
      <c r="C26" s="113" t="s">
        <v>283</v>
      </c>
      <c r="D26" s="113" t="s">
        <v>284</v>
      </c>
      <c r="E26" s="132" t="s">
        <v>260</v>
      </c>
      <c r="F26" s="125">
        <f t="shared" si="2"/>
        <v>9</v>
      </c>
      <c r="G26" s="112">
        <v>13</v>
      </c>
      <c r="H26" s="112">
        <v>14</v>
      </c>
      <c r="I26" s="112">
        <v>15</v>
      </c>
      <c r="J26" s="112">
        <v>16</v>
      </c>
      <c r="K26" s="112">
        <v>17</v>
      </c>
      <c r="L26" s="112">
        <v>18</v>
      </c>
      <c r="M26" s="112">
        <v>19</v>
      </c>
      <c r="N26" s="112">
        <v>20</v>
      </c>
      <c r="O26" s="113">
        <v>21</v>
      </c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2">
        <v>13</v>
      </c>
      <c r="BM26" s="112">
        <v>18</v>
      </c>
      <c r="BN26" s="112">
        <v>21</v>
      </c>
      <c r="BO26" s="113"/>
      <c r="BP26" s="113"/>
      <c r="BQ26" s="112" t="s">
        <v>59</v>
      </c>
      <c r="BR26" s="112" t="s">
        <v>60</v>
      </c>
      <c r="BS26" s="113"/>
      <c r="BT26" s="113"/>
      <c r="BU26" s="119">
        <f t="shared" si="1"/>
        <v>0</v>
      </c>
      <c r="BV26" s="119">
        <f t="shared" si="1"/>
        <v>0</v>
      </c>
      <c r="BW26" s="119">
        <f t="shared" si="1"/>
        <v>1</v>
      </c>
      <c r="BX26" s="119">
        <f t="shared" si="1"/>
        <v>1</v>
      </c>
      <c r="BY26" s="133" t="str">
        <f>IF($BU26=0,"N/A",IF(AND($BP26="Level 1-6 (3-57 point)",MIN($G26:$BK26)&lt;Thresholds_Rates!$C$13),"Yes","No"))</f>
        <v>N/A</v>
      </c>
      <c r="BZ26" s="133" t="str">
        <f>IF(SUM($BW26:$BX26)=0,"N/A",IF(AND($BP26="Level 1-6 (3-57 point)",MAX($G26:$BK26)&gt;Thresholds_Rates!$C$14),"Yes","No"))</f>
        <v>No</v>
      </c>
    </row>
    <row r="27" spans="1:78" ht="72" x14ac:dyDescent="0.25">
      <c r="A27" s="111" t="s">
        <v>243</v>
      </c>
      <c r="B27" s="113">
        <v>2</v>
      </c>
      <c r="C27" s="113" t="s">
        <v>283</v>
      </c>
      <c r="D27" s="113" t="s">
        <v>284</v>
      </c>
      <c r="E27" s="132" t="s">
        <v>260</v>
      </c>
      <c r="F27" s="125">
        <f t="shared" si="2"/>
        <v>11</v>
      </c>
      <c r="G27" s="112">
        <v>20</v>
      </c>
      <c r="H27" s="112">
        <v>21</v>
      </c>
      <c r="I27" s="112">
        <v>22</v>
      </c>
      <c r="J27" s="112">
        <v>23</v>
      </c>
      <c r="K27" s="112">
        <v>24</v>
      </c>
      <c r="L27" s="112">
        <v>25</v>
      </c>
      <c r="M27" s="112">
        <v>26</v>
      </c>
      <c r="N27" s="112">
        <v>27</v>
      </c>
      <c r="O27" s="112">
        <v>28</v>
      </c>
      <c r="P27" s="113">
        <v>29</v>
      </c>
      <c r="Q27" s="113">
        <v>30</v>
      </c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2">
        <v>20</v>
      </c>
      <c r="BM27" s="112">
        <v>27</v>
      </c>
      <c r="BN27" s="112">
        <v>30</v>
      </c>
      <c r="BO27" s="113"/>
      <c r="BP27" s="113" t="s">
        <v>127</v>
      </c>
      <c r="BQ27" s="112" t="s">
        <v>59</v>
      </c>
      <c r="BR27" s="112" t="s">
        <v>60</v>
      </c>
      <c r="BS27" s="113"/>
      <c r="BT27" s="113"/>
      <c r="BU27" s="119">
        <f t="shared" si="1"/>
        <v>0</v>
      </c>
      <c r="BV27" s="119">
        <f t="shared" si="1"/>
        <v>0</v>
      </c>
      <c r="BW27" s="119">
        <f t="shared" si="1"/>
        <v>1</v>
      </c>
      <c r="BX27" s="119">
        <f t="shared" si="1"/>
        <v>1</v>
      </c>
      <c r="BY27" s="133" t="str">
        <f>IF($BU27=0,"N/A",IF(AND($BP27="Level 1-6 (3-57 point)",MIN($G27:$BK27)&lt;Thresholds_Rates!$C$13),"Yes","No"))</f>
        <v>N/A</v>
      </c>
      <c r="BZ27" s="133" t="str">
        <f>IF(SUM($BW27:$BX27)=0,"N/A",IF(AND($BP27="Level 1-6 (3-57 point)",MAX($G27:$BK27)&gt;Thresholds_Rates!$C$14),"Yes","No"))</f>
        <v>No</v>
      </c>
    </row>
    <row r="28" spans="1:78" x14ac:dyDescent="0.25">
      <c r="A28" s="111" t="s">
        <v>154</v>
      </c>
      <c r="B28" s="113">
        <v>2</v>
      </c>
      <c r="C28" s="113" t="s">
        <v>125</v>
      </c>
      <c r="D28" s="113" t="s">
        <v>126</v>
      </c>
      <c r="E28" s="113"/>
      <c r="F28" s="125">
        <f t="shared" si="2"/>
        <v>13</v>
      </c>
      <c r="G28" s="112">
        <v>27</v>
      </c>
      <c r="H28" s="112">
        <v>28</v>
      </c>
      <c r="I28" s="112">
        <v>29</v>
      </c>
      <c r="J28" s="112">
        <v>30</v>
      </c>
      <c r="K28" s="112">
        <v>31</v>
      </c>
      <c r="L28" s="112">
        <v>32</v>
      </c>
      <c r="M28" s="112">
        <v>33</v>
      </c>
      <c r="N28" s="112">
        <v>34</v>
      </c>
      <c r="O28" s="112">
        <v>35</v>
      </c>
      <c r="P28" s="112">
        <v>36</v>
      </c>
      <c r="Q28" s="112">
        <v>37</v>
      </c>
      <c r="R28" s="112">
        <v>38</v>
      </c>
      <c r="S28" s="112">
        <v>39</v>
      </c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2">
        <v>27</v>
      </c>
      <c r="BM28" s="112">
        <v>37</v>
      </c>
      <c r="BN28" s="112">
        <v>39</v>
      </c>
      <c r="BO28" s="113"/>
      <c r="BP28" s="113" t="s">
        <v>127</v>
      </c>
      <c r="BQ28" s="112" t="s">
        <v>57</v>
      </c>
      <c r="BR28" s="113"/>
      <c r="BS28" s="113"/>
      <c r="BT28" s="113"/>
      <c r="BU28" s="119">
        <f t="shared" ref="BU28:BX36" si="3">COUNTIF($BQ28:$BT28,BU$6)</f>
        <v>1</v>
      </c>
      <c r="BV28" s="119">
        <f t="shared" si="3"/>
        <v>0</v>
      </c>
      <c r="BW28" s="119">
        <f t="shared" si="3"/>
        <v>0</v>
      </c>
      <c r="BX28" s="119">
        <f t="shared" si="3"/>
        <v>0</v>
      </c>
      <c r="BY28" s="133" t="str">
        <f>IF($BU28=0,"N/A",IF(AND($BP28="Level 1-6 (3-57 point)",MIN($G28:$BK28)&lt;Thresholds_Rates!$C$13),"Yes","No"))</f>
        <v>No</v>
      </c>
      <c r="BZ28" s="133" t="str">
        <f>IF(SUM($BW28:$BX28)=0,"N/A",IF(AND($BP28="Level 1-6 (3-57 point)",MAX($G28:$BK28)&gt;Thresholds_Rates!$C$14),"Yes","No"))</f>
        <v>N/A</v>
      </c>
    </row>
    <row r="29" spans="1:78" x14ac:dyDescent="0.25">
      <c r="A29" s="111" t="s">
        <v>155</v>
      </c>
      <c r="B29" s="113">
        <v>2</v>
      </c>
      <c r="C29" s="113" t="s">
        <v>125</v>
      </c>
      <c r="D29" s="113" t="s">
        <v>126</v>
      </c>
      <c r="E29" s="113"/>
      <c r="F29" s="125">
        <f t="shared" si="2"/>
        <v>4</v>
      </c>
      <c r="G29" s="112">
        <v>23</v>
      </c>
      <c r="H29" s="112">
        <v>24</v>
      </c>
      <c r="I29" s="112">
        <v>26</v>
      </c>
      <c r="J29" s="112">
        <v>27</v>
      </c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2">
        <v>23</v>
      </c>
      <c r="BM29" s="112"/>
      <c r="BN29" s="112"/>
      <c r="BO29" s="113"/>
      <c r="BP29" s="113" t="s">
        <v>127</v>
      </c>
      <c r="BQ29" s="112" t="s">
        <v>57</v>
      </c>
      <c r="BR29" s="113"/>
      <c r="BS29" s="113"/>
      <c r="BT29" s="113"/>
      <c r="BU29" s="119">
        <f t="shared" si="3"/>
        <v>1</v>
      </c>
      <c r="BV29" s="119">
        <f t="shared" si="3"/>
        <v>0</v>
      </c>
      <c r="BW29" s="119">
        <f t="shared" si="3"/>
        <v>0</v>
      </c>
      <c r="BX29" s="119">
        <f t="shared" si="3"/>
        <v>0</v>
      </c>
      <c r="BY29" s="133" t="str">
        <f>IF($BU29=0,"N/A",IF(AND($BP29="Level 1-6 (3-57 point)",MIN($G29:$BK29)&lt;Thresholds_Rates!$C$13),"Yes","No"))</f>
        <v>No</v>
      </c>
      <c r="BZ29" s="133" t="str">
        <f>IF(SUM($BW29:$BX29)=0,"N/A",IF(AND($BP29="Level 1-6 (3-57 point)",MAX($G29:$BK29)&gt;Thresholds_Rates!$C$14),"Yes","No"))</f>
        <v>N/A</v>
      </c>
    </row>
    <row r="30" spans="1:78" x14ac:dyDescent="0.25">
      <c r="A30" s="111" t="s">
        <v>156</v>
      </c>
      <c r="B30" s="113">
        <v>2</v>
      </c>
      <c r="C30" s="113" t="s">
        <v>125</v>
      </c>
      <c r="D30" s="113" t="s">
        <v>126</v>
      </c>
      <c r="E30" s="113"/>
      <c r="F30" s="125">
        <f t="shared" si="2"/>
        <v>7</v>
      </c>
      <c r="G30" s="112">
        <v>23</v>
      </c>
      <c r="H30" s="112">
        <v>24</v>
      </c>
      <c r="I30" s="112">
        <v>26</v>
      </c>
      <c r="J30" s="112">
        <v>27</v>
      </c>
      <c r="K30" s="112">
        <v>28</v>
      </c>
      <c r="L30" s="112">
        <v>29</v>
      </c>
      <c r="M30" s="112">
        <v>30</v>
      </c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2">
        <v>23</v>
      </c>
      <c r="BM30" s="112">
        <v>27</v>
      </c>
      <c r="BN30" s="112">
        <v>30</v>
      </c>
      <c r="BO30" s="113"/>
      <c r="BP30" s="113" t="s">
        <v>127</v>
      </c>
      <c r="BQ30" s="112" t="s">
        <v>57</v>
      </c>
      <c r="BR30" s="113"/>
      <c r="BS30" s="113"/>
      <c r="BT30" s="113"/>
      <c r="BU30" s="119">
        <f t="shared" si="3"/>
        <v>1</v>
      </c>
      <c r="BV30" s="119">
        <f t="shared" si="3"/>
        <v>0</v>
      </c>
      <c r="BW30" s="119">
        <f t="shared" si="3"/>
        <v>0</v>
      </c>
      <c r="BX30" s="119">
        <f t="shared" si="3"/>
        <v>0</v>
      </c>
      <c r="BY30" s="133" t="str">
        <f>IF($BU30=0,"N/A",IF(AND($BP30="Level 1-6 (3-57 point)",MIN($G30:$BK30)&lt;Thresholds_Rates!$C$13),"Yes","No"))</f>
        <v>No</v>
      </c>
      <c r="BZ30" s="133" t="str">
        <f>IF(SUM($BW30:$BX30)=0,"N/A",IF(AND($BP30="Level 1-6 (3-57 point)",MAX($G30:$BK30)&gt;Thresholds_Rates!$C$14),"Yes","No"))</f>
        <v>N/A</v>
      </c>
    </row>
    <row r="31" spans="1:78" x14ac:dyDescent="0.25">
      <c r="A31" s="111" t="s">
        <v>157</v>
      </c>
      <c r="B31" s="113">
        <v>2</v>
      </c>
      <c r="C31" s="113" t="s">
        <v>125</v>
      </c>
      <c r="D31" s="113" t="s">
        <v>126</v>
      </c>
      <c r="E31" s="113"/>
      <c r="F31" s="125">
        <f t="shared" si="2"/>
        <v>13</v>
      </c>
      <c r="G31" s="112">
        <v>36</v>
      </c>
      <c r="H31" s="112">
        <v>37</v>
      </c>
      <c r="I31" s="112">
        <v>38</v>
      </c>
      <c r="J31" s="112">
        <v>39</v>
      </c>
      <c r="K31" s="112">
        <v>40</v>
      </c>
      <c r="L31" s="112">
        <v>41</v>
      </c>
      <c r="M31" s="112">
        <v>42</v>
      </c>
      <c r="N31" s="112">
        <v>43</v>
      </c>
      <c r="O31" s="112">
        <v>44</v>
      </c>
      <c r="P31" s="112">
        <v>45</v>
      </c>
      <c r="Q31" s="112">
        <v>46</v>
      </c>
      <c r="R31" s="112">
        <v>47</v>
      </c>
      <c r="S31" s="112">
        <v>48</v>
      </c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2">
        <v>36</v>
      </c>
      <c r="BM31" s="112">
        <v>44</v>
      </c>
      <c r="BN31" s="112">
        <v>48</v>
      </c>
      <c r="BO31" s="113"/>
      <c r="BP31" s="113" t="s">
        <v>127</v>
      </c>
      <c r="BQ31" s="112" t="s">
        <v>57</v>
      </c>
      <c r="BR31" s="113"/>
      <c r="BS31" s="113"/>
      <c r="BT31" s="113"/>
      <c r="BU31" s="119">
        <f t="shared" si="3"/>
        <v>1</v>
      </c>
      <c r="BV31" s="119">
        <f t="shared" si="3"/>
        <v>0</v>
      </c>
      <c r="BW31" s="119">
        <f t="shared" si="3"/>
        <v>0</v>
      </c>
      <c r="BX31" s="119">
        <f t="shared" si="3"/>
        <v>0</v>
      </c>
      <c r="BY31" s="133" t="str">
        <f>IF($BU31=0,"N/A",IF(AND($BP31="Level 1-6 (3-57 point)",MIN($G31:$BK31)&lt;Thresholds_Rates!$C$13),"Yes","No"))</f>
        <v>No</v>
      </c>
      <c r="BZ31" s="133" t="str">
        <f>IF(SUM($BW31:$BX31)=0,"N/A",IF(AND($BP31="Level 1-6 (3-57 point)",MAX($G31:$BK31)&gt;Thresholds_Rates!$C$14),"Yes","No"))</f>
        <v>N/A</v>
      </c>
    </row>
    <row r="32" spans="1:78" x14ac:dyDescent="0.25">
      <c r="A32" s="111" t="s">
        <v>158</v>
      </c>
      <c r="B32" s="113">
        <v>2</v>
      </c>
      <c r="C32" s="113" t="s">
        <v>159</v>
      </c>
      <c r="D32" s="113" t="s">
        <v>160</v>
      </c>
      <c r="E32" s="113"/>
      <c r="F32" s="125">
        <f t="shared" si="2"/>
        <v>13</v>
      </c>
      <c r="G32" s="112">
        <v>36</v>
      </c>
      <c r="H32" s="112">
        <v>37</v>
      </c>
      <c r="I32" s="112">
        <v>38</v>
      </c>
      <c r="J32" s="112">
        <v>39</v>
      </c>
      <c r="K32" s="112">
        <v>40</v>
      </c>
      <c r="L32" s="112">
        <v>41</v>
      </c>
      <c r="M32" s="112">
        <v>42</v>
      </c>
      <c r="N32" s="112">
        <v>43</v>
      </c>
      <c r="O32" s="112">
        <v>44</v>
      </c>
      <c r="P32" s="112">
        <v>45</v>
      </c>
      <c r="Q32" s="112">
        <v>46</v>
      </c>
      <c r="R32" s="112">
        <v>47</v>
      </c>
      <c r="S32" s="112">
        <v>48</v>
      </c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2">
        <v>36</v>
      </c>
      <c r="BM32" s="112">
        <v>44</v>
      </c>
      <c r="BN32" s="112">
        <v>48</v>
      </c>
      <c r="BO32" s="113" t="s">
        <v>161</v>
      </c>
      <c r="BP32" s="113" t="s">
        <v>127</v>
      </c>
      <c r="BQ32" s="112" t="s">
        <v>57</v>
      </c>
      <c r="BR32" s="113"/>
      <c r="BS32" s="113"/>
      <c r="BT32" s="113"/>
      <c r="BU32" s="119">
        <f t="shared" si="3"/>
        <v>1</v>
      </c>
      <c r="BV32" s="119">
        <f t="shared" si="3"/>
        <v>0</v>
      </c>
      <c r="BW32" s="119">
        <f t="shared" si="3"/>
        <v>0</v>
      </c>
      <c r="BX32" s="119">
        <f t="shared" si="3"/>
        <v>0</v>
      </c>
      <c r="BY32" s="133" t="str">
        <f>IF($BU32=0,"N/A",IF(AND($BP32="Level 1-6 (3-57 point)",MIN($G32:$BK32)&lt;Thresholds_Rates!$C$13),"Yes","No"))</f>
        <v>No</v>
      </c>
      <c r="BZ32" s="133" t="str">
        <f>IF(SUM($BW32:$BX32)=0,"N/A",IF(AND($BP32="Level 1-6 (3-57 point)",MAX($G32:$BK32)&gt;Thresholds_Rates!$C$14),"Yes","No"))</f>
        <v>N/A</v>
      </c>
    </row>
    <row r="33" spans="1:78" x14ac:dyDescent="0.25">
      <c r="A33" s="111" t="s">
        <v>229</v>
      </c>
      <c r="B33" s="113">
        <v>2</v>
      </c>
      <c r="C33" s="113" t="s">
        <v>125</v>
      </c>
      <c r="D33" s="113" t="s">
        <v>126</v>
      </c>
      <c r="E33" s="113"/>
      <c r="F33" s="125">
        <f t="shared" si="2"/>
        <v>16</v>
      </c>
      <c r="G33" s="112">
        <v>33</v>
      </c>
      <c r="H33" s="112">
        <v>34</v>
      </c>
      <c r="I33" s="112">
        <v>35</v>
      </c>
      <c r="J33" s="112">
        <v>36</v>
      </c>
      <c r="K33" s="112">
        <v>37</v>
      </c>
      <c r="L33" s="112">
        <v>38</v>
      </c>
      <c r="M33" s="112">
        <v>39</v>
      </c>
      <c r="N33" s="112">
        <v>40</v>
      </c>
      <c r="O33" s="112">
        <v>41</v>
      </c>
      <c r="P33" s="112">
        <v>42</v>
      </c>
      <c r="Q33" s="112">
        <v>43</v>
      </c>
      <c r="R33" s="112">
        <v>44</v>
      </c>
      <c r="S33" s="112">
        <v>45</v>
      </c>
      <c r="T33" s="112">
        <v>46</v>
      </c>
      <c r="U33" s="112">
        <v>47</v>
      </c>
      <c r="V33" s="112">
        <v>48</v>
      </c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2">
        <v>33</v>
      </c>
      <c r="BM33" s="112">
        <v>44</v>
      </c>
      <c r="BN33" s="112">
        <v>48</v>
      </c>
      <c r="BO33" s="113"/>
      <c r="BP33" s="113" t="s">
        <v>127</v>
      </c>
      <c r="BQ33" s="112" t="s">
        <v>57</v>
      </c>
      <c r="BR33" s="113"/>
      <c r="BS33" s="113"/>
      <c r="BT33" s="113"/>
      <c r="BU33" s="119">
        <f t="shared" si="3"/>
        <v>1</v>
      </c>
      <c r="BV33" s="119">
        <f t="shared" si="3"/>
        <v>0</v>
      </c>
      <c r="BW33" s="119">
        <f t="shared" si="3"/>
        <v>0</v>
      </c>
      <c r="BX33" s="119">
        <f t="shared" si="3"/>
        <v>0</v>
      </c>
      <c r="BY33" s="133" t="str">
        <f>IF($BU33=0,"N/A",IF(AND($BP33="Level 1-6 (3-57 point)",MIN($G33:$BK33)&lt;Thresholds_Rates!$C$13),"Yes","No"))</f>
        <v>No</v>
      </c>
      <c r="BZ33" s="133" t="str">
        <f>IF(SUM($BW33:$BX33)=0,"N/A",IF(AND($BP33="Level 1-6 (3-57 point)",MAX($G33:$BK33)&gt;Thresholds_Rates!$C$14),"Yes","No"))</f>
        <v>N/A</v>
      </c>
    </row>
    <row r="34" spans="1:78" x14ac:dyDescent="0.25">
      <c r="A34" s="111" t="s">
        <v>162</v>
      </c>
      <c r="B34" s="113">
        <v>2</v>
      </c>
      <c r="C34" s="113" t="s">
        <v>125</v>
      </c>
      <c r="D34" s="113" t="s">
        <v>126</v>
      </c>
      <c r="E34" s="113"/>
      <c r="F34" s="125">
        <f t="shared" si="2"/>
        <v>13</v>
      </c>
      <c r="G34" s="112">
        <v>45</v>
      </c>
      <c r="H34" s="112">
        <v>46</v>
      </c>
      <c r="I34" s="112">
        <v>47</v>
      </c>
      <c r="J34" s="112">
        <v>48</v>
      </c>
      <c r="K34" s="112">
        <v>49</v>
      </c>
      <c r="L34" s="112">
        <v>50</v>
      </c>
      <c r="M34" s="112">
        <v>51</v>
      </c>
      <c r="N34" s="112">
        <v>52</v>
      </c>
      <c r="O34" s="112">
        <v>53</v>
      </c>
      <c r="P34" s="112">
        <v>54</v>
      </c>
      <c r="Q34" s="112">
        <v>55</v>
      </c>
      <c r="R34" s="112">
        <v>56</v>
      </c>
      <c r="S34" s="112">
        <v>57</v>
      </c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2">
        <v>45</v>
      </c>
      <c r="BM34" s="112">
        <v>52</v>
      </c>
      <c r="BN34" s="112">
        <v>57</v>
      </c>
      <c r="BO34" s="113"/>
      <c r="BP34" s="113" t="s">
        <v>127</v>
      </c>
      <c r="BQ34" s="112" t="s">
        <v>57</v>
      </c>
      <c r="BR34" s="113"/>
      <c r="BS34" s="113"/>
      <c r="BT34" s="113"/>
      <c r="BU34" s="119">
        <f t="shared" si="3"/>
        <v>1</v>
      </c>
      <c r="BV34" s="119">
        <f t="shared" si="3"/>
        <v>0</v>
      </c>
      <c r="BW34" s="119">
        <f t="shared" si="3"/>
        <v>0</v>
      </c>
      <c r="BX34" s="119">
        <f t="shared" si="3"/>
        <v>0</v>
      </c>
      <c r="BY34" s="133" t="str">
        <f>IF($BU34=0,"N/A",IF(AND($BP34="Level 1-6 (3-57 point)",MIN($G34:$BK34)&lt;Thresholds_Rates!$C$13),"Yes","No"))</f>
        <v>No</v>
      </c>
      <c r="BZ34" s="133" t="str">
        <f>IF(SUM($BW34:$BX34)=0,"N/A",IF(AND($BP34="Level 1-6 (3-57 point)",MAX($G34:$BK34)&gt;Thresholds_Rates!$C$14),"Yes","No"))</f>
        <v>N/A</v>
      </c>
    </row>
    <row r="35" spans="1:78" x14ac:dyDescent="0.25">
      <c r="A35" s="111" t="s">
        <v>163</v>
      </c>
      <c r="B35" s="113">
        <v>2</v>
      </c>
      <c r="C35" s="113" t="s">
        <v>164</v>
      </c>
      <c r="D35" s="113" t="s">
        <v>165</v>
      </c>
      <c r="E35" s="113"/>
      <c r="F35" s="125">
        <f t="shared" si="2"/>
        <v>13</v>
      </c>
      <c r="G35" s="112">
        <v>45</v>
      </c>
      <c r="H35" s="112">
        <v>46</v>
      </c>
      <c r="I35" s="112">
        <v>47</v>
      </c>
      <c r="J35" s="112">
        <v>48</v>
      </c>
      <c r="K35" s="112">
        <v>49</v>
      </c>
      <c r="L35" s="112">
        <v>50</v>
      </c>
      <c r="M35" s="112">
        <v>51</v>
      </c>
      <c r="N35" s="112">
        <v>52</v>
      </c>
      <c r="O35" s="112">
        <v>53</v>
      </c>
      <c r="P35" s="112">
        <v>54</v>
      </c>
      <c r="Q35" s="112">
        <v>55</v>
      </c>
      <c r="R35" s="112">
        <v>56</v>
      </c>
      <c r="S35" s="112">
        <v>57</v>
      </c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2">
        <v>45</v>
      </c>
      <c r="BM35" s="112">
        <v>52</v>
      </c>
      <c r="BN35" s="112">
        <v>57</v>
      </c>
      <c r="BO35" s="113" t="s">
        <v>161</v>
      </c>
      <c r="BP35" s="113" t="s">
        <v>127</v>
      </c>
      <c r="BQ35" s="112" t="s">
        <v>57</v>
      </c>
      <c r="BR35" s="113"/>
      <c r="BS35" s="113"/>
      <c r="BT35" s="113"/>
      <c r="BU35" s="119">
        <f t="shared" si="3"/>
        <v>1</v>
      </c>
      <c r="BV35" s="119">
        <f t="shared" si="3"/>
        <v>0</v>
      </c>
      <c r="BW35" s="119">
        <f t="shared" si="3"/>
        <v>0</v>
      </c>
      <c r="BX35" s="119">
        <f t="shared" si="3"/>
        <v>0</v>
      </c>
      <c r="BY35" s="133" t="str">
        <f>IF($BU35=0,"N/A",IF(AND($BP35="Level 1-6 (3-57 point)",MIN($G35:$BK35)&lt;Thresholds_Rates!$C$13),"Yes","No"))</f>
        <v>No</v>
      </c>
      <c r="BZ35" s="133" t="str">
        <f>IF(SUM($BW35:$BX35)=0,"N/A",IF(AND($BP35="Level 1-6 (3-57 point)",MAX($G35:$BK35)&gt;Thresholds_Rates!$C$14),"Yes","No"))</f>
        <v>N/A</v>
      </c>
    </row>
    <row r="36" spans="1:78" x14ac:dyDescent="0.25">
      <c r="A36" s="111" t="s">
        <v>166</v>
      </c>
      <c r="B36" s="113">
        <v>2</v>
      </c>
      <c r="C36" s="113" t="s">
        <v>135</v>
      </c>
      <c r="D36" s="113" t="s">
        <v>136</v>
      </c>
      <c r="E36" s="113"/>
      <c r="F36" s="125">
        <f t="shared" si="2"/>
        <v>26</v>
      </c>
      <c r="G36" s="112">
        <v>1</v>
      </c>
      <c r="H36" s="112">
        <v>2</v>
      </c>
      <c r="I36" s="112">
        <v>3</v>
      </c>
      <c r="J36" s="112">
        <v>4</v>
      </c>
      <c r="K36" s="112">
        <v>5</v>
      </c>
      <c r="L36" s="112">
        <v>6</v>
      </c>
      <c r="M36" s="112">
        <v>7</v>
      </c>
      <c r="N36" s="112">
        <v>8</v>
      </c>
      <c r="O36" s="112">
        <v>9</v>
      </c>
      <c r="P36" s="112">
        <v>10</v>
      </c>
      <c r="Q36" s="112">
        <v>11</v>
      </c>
      <c r="R36" s="112">
        <v>12</v>
      </c>
      <c r="S36" s="112">
        <v>13</v>
      </c>
      <c r="T36" s="112">
        <v>14</v>
      </c>
      <c r="U36" s="112">
        <v>15</v>
      </c>
      <c r="V36" s="112">
        <v>16</v>
      </c>
      <c r="W36" s="112">
        <v>17</v>
      </c>
      <c r="X36" s="112">
        <v>18</v>
      </c>
      <c r="Y36" s="112">
        <v>19</v>
      </c>
      <c r="Z36" s="112">
        <v>20</v>
      </c>
      <c r="AA36" s="112">
        <v>21</v>
      </c>
      <c r="AB36" s="112">
        <v>22</v>
      </c>
      <c r="AC36" s="112">
        <v>23</v>
      </c>
      <c r="AD36" s="112">
        <v>24</v>
      </c>
      <c r="AE36" s="112">
        <v>25</v>
      </c>
      <c r="AF36" s="112">
        <v>26</v>
      </c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2">
        <v>1</v>
      </c>
      <c r="BM36" s="112">
        <v>17</v>
      </c>
      <c r="BN36" s="112">
        <v>26</v>
      </c>
      <c r="BO36" s="113"/>
      <c r="BP36" s="113" t="s">
        <v>137</v>
      </c>
      <c r="BQ36" s="112" t="s">
        <v>57</v>
      </c>
      <c r="BR36" s="113"/>
      <c r="BS36" s="113"/>
      <c r="BT36" s="113"/>
      <c r="BU36" s="119">
        <f t="shared" si="3"/>
        <v>1</v>
      </c>
      <c r="BV36" s="119">
        <f t="shared" si="3"/>
        <v>0</v>
      </c>
      <c r="BW36" s="119">
        <f t="shared" si="3"/>
        <v>0</v>
      </c>
      <c r="BX36" s="119">
        <f t="shared" si="3"/>
        <v>0</v>
      </c>
      <c r="BY36" s="133" t="str">
        <f>IF($BU36=0,"N/A",IF(AND($BP36="Level 1-6 (3-57 point)",MIN($G36:$BK36)&lt;Thresholds_Rates!$C$13),"Yes","No"))</f>
        <v>No</v>
      </c>
      <c r="BZ36" s="133" t="str">
        <f>IF(SUM($BW36:$BX36)=0,"N/A",IF(AND($BP36="Level 1-6 (3-57 point)",MAX($G36:$BK36)&gt;Thresholds_Rates!$C$14),"Yes","No"))</f>
        <v>N/A</v>
      </c>
    </row>
    <row r="37" spans="1:78" x14ac:dyDescent="0.25">
      <c r="A37" s="113" t="s">
        <v>167</v>
      </c>
      <c r="B37" s="113">
        <v>2</v>
      </c>
      <c r="C37" s="113" t="s">
        <v>168</v>
      </c>
      <c r="D37" s="113" t="s">
        <v>169</v>
      </c>
      <c r="E37" s="113"/>
      <c r="F37" s="125">
        <f t="shared" si="2"/>
        <v>20</v>
      </c>
      <c r="G37" s="112">
        <v>1</v>
      </c>
      <c r="H37" s="112">
        <v>2</v>
      </c>
      <c r="I37" s="112">
        <v>3</v>
      </c>
      <c r="J37" s="112">
        <v>4</v>
      </c>
      <c r="K37" s="112">
        <v>5</v>
      </c>
      <c r="L37" s="112">
        <v>6</v>
      </c>
      <c r="M37" s="112">
        <v>7</v>
      </c>
      <c r="N37" s="112">
        <v>8</v>
      </c>
      <c r="O37" s="112">
        <v>9</v>
      </c>
      <c r="P37" s="112">
        <v>10</v>
      </c>
      <c r="Q37" s="112">
        <v>11</v>
      </c>
      <c r="R37" s="112">
        <v>12</v>
      </c>
      <c r="S37" s="112">
        <v>13</v>
      </c>
      <c r="T37" s="112">
        <v>14</v>
      </c>
      <c r="U37" s="112">
        <v>15</v>
      </c>
      <c r="V37" s="112">
        <v>16</v>
      </c>
      <c r="W37" s="112">
        <v>17</v>
      </c>
      <c r="X37" s="112">
        <v>18</v>
      </c>
      <c r="Y37" s="112">
        <v>19</v>
      </c>
      <c r="Z37" s="112">
        <v>20</v>
      </c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>
        <v>1</v>
      </c>
      <c r="BM37" s="113"/>
      <c r="BN37" s="113"/>
      <c r="BO37" s="113"/>
      <c r="BP37" s="113" t="s">
        <v>137</v>
      </c>
      <c r="BQ37" s="113" t="s">
        <v>57</v>
      </c>
      <c r="BR37" s="113"/>
      <c r="BS37" s="113"/>
      <c r="BT37" s="113"/>
      <c r="BU37" s="119">
        <v>1</v>
      </c>
      <c r="BV37" s="119">
        <f>COUNTIF($BQ37:$BT37,BV$6)</f>
        <v>0</v>
      </c>
      <c r="BW37" s="119">
        <f>COUNTIF($BQ37:$BT37,BW$6)</f>
        <v>0</v>
      </c>
      <c r="BX37" s="119">
        <f>COUNTIF($BQ37:$BT37,BX$6)</f>
        <v>0</v>
      </c>
      <c r="BY37" s="133" t="str">
        <f>IF($BU37=0,"N/A",IF(AND($BP37="Level 1-6 (3-57 point)",MIN($G37:$BK37)&lt;Thresholds_Rates!$C$13),"Yes","No"))</f>
        <v>No</v>
      </c>
      <c r="BZ37" s="133" t="str">
        <f>IF(SUM($BW37:$BX37)=0,"N/A",IF(AND($BP37="Level 1-6 (3-57 point)",MAX($G37:$BK37)&gt;Thresholds_Rates!$C$14),"Yes","No"))</f>
        <v>N/A</v>
      </c>
    </row>
    <row r="38" spans="1:78" x14ac:dyDescent="0.25">
      <c r="A38" s="113" t="s">
        <v>170</v>
      </c>
      <c r="B38" s="113">
        <v>2</v>
      </c>
      <c r="C38" s="113" t="s">
        <v>168</v>
      </c>
      <c r="D38" s="113" t="s">
        <v>169</v>
      </c>
      <c r="E38" s="113"/>
      <c r="F38" s="125">
        <f t="shared" si="2"/>
        <v>6</v>
      </c>
      <c r="G38" s="112">
        <v>1</v>
      </c>
      <c r="H38" s="112">
        <v>2</v>
      </c>
      <c r="I38" s="112">
        <v>3</v>
      </c>
      <c r="J38" s="112">
        <v>4</v>
      </c>
      <c r="K38" s="112">
        <v>5</v>
      </c>
      <c r="L38" s="112">
        <v>6</v>
      </c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>
        <v>1</v>
      </c>
      <c r="BM38" s="113"/>
      <c r="BN38" s="113">
        <v>6</v>
      </c>
      <c r="BO38" s="113"/>
      <c r="BP38" s="113" t="s">
        <v>137</v>
      </c>
      <c r="BQ38" s="113" t="s">
        <v>57</v>
      </c>
      <c r="BR38" s="113"/>
      <c r="BS38" s="113"/>
      <c r="BT38" s="113"/>
      <c r="BU38" s="119">
        <v>1</v>
      </c>
      <c r="BV38" s="119">
        <v>0</v>
      </c>
      <c r="BW38" s="119">
        <v>0</v>
      </c>
      <c r="BX38" s="119">
        <v>0</v>
      </c>
      <c r="BY38" s="133" t="str">
        <f>IF($BU38=0,"N/A",IF(AND($BP38="Level 1-6 (3-57 point)",MIN($G38:$BK38)&lt;Thresholds_Rates!$C$13),"Yes","No"))</f>
        <v>No</v>
      </c>
      <c r="BZ38" s="133" t="str">
        <f>IF(SUM($BW38:$BX38)=0,"N/A",IF(AND($BP38="Level 1-6 (3-57 point)",MAX($G38:$BK38)&gt;Thresholds_Rates!$C$14),"Yes","No"))</f>
        <v>N/A</v>
      </c>
    </row>
    <row r="39" spans="1:78" x14ac:dyDescent="0.25">
      <c r="A39" s="113" t="s">
        <v>171</v>
      </c>
      <c r="B39" s="113">
        <v>2</v>
      </c>
      <c r="C39" s="113" t="s">
        <v>168</v>
      </c>
      <c r="D39" s="113" t="s">
        <v>169</v>
      </c>
      <c r="E39" s="113"/>
      <c r="F39" s="125">
        <f t="shared" si="2"/>
        <v>6</v>
      </c>
      <c r="G39" s="113">
        <v>7</v>
      </c>
      <c r="H39" s="113">
        <v>8</v>
      </c>
      <c r="I39" s="113">
        <v>9</v>
      </c>
      <c r="J39" s="113">
        <v>10</v>
      </c>
      <c r="K39" s="113">
        <v>11</v>
      </c>
      <c r="L39" s="113">
        <v>12</v>
      </c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>
        <v>7</v>
      </c>
      <c r="BM39" s="113"/>
      <c r="BN39" s="113">
        <v>12</v>
      </c>
      <c r="BO39" s="113"/>
      <c r="BP39" s="113" t="s">
        <v>137</v>
      </c>
      <c r="BQ39" s="113" t="s">
        <v>57</v>
      </c>
      <c r="BR39" s="113"/>
      <c r="BS39" s="113"/>
      <c r="BT39" s="113"/>
      <c r="BU39" s="119">
        <v>1</v>
      </c>
      <c r="BV39" s="119">
        <v>0</v>
      </c>
      <c r="BW39" s="119">
        <v>0</v>
      </c>
      <c r="BX39" s="119">
        <v>0</v>
      </c>
      <c r="BY39" s="133" t="str">
        <f>IF($BU39=0,"N/A",IF(AND($BP39="Level 1-6 (3-57 point)",MIN($G39:$BK39)&lt;Thresholds_Rates!$C$13),"Yes","No"))</f>
        <v>No</v>
      </c>
      <c r="BZ39" s="133" t="str">
        <f>IF(SUM($BW39:$BX39)=0,"N/A",IF(AND($BP39="Level 1-6 (3-57 point)",MAX($G39:$BK39)&gt;Thresholds_Rates!$C$14),"Yes","No"))</f>
        <v>N/A</v>
      </c>
    </row>
    <row r="40" spans="1:78" x14ac:dyDescent="0.25">
      <c r="A40" s="113" t="s">
        <v>172</v>
      </c>
      <c r="B40" s="113">
        <v>2</v>
      </c>
      <c r="C40" s="113" t="s">
        <v>168</v>
      </c>
      <c r="D40" s="113" t="s">
        <v>169</v>
      </c>
      <c r="E40" s="113"/>
      <c r="F40" s="125">
        <f t="shared" si="2"/>
        <v>7</v>
      </c>
      <c r="G40" s="113">
        <v>13</v>
      </c>
      <c r="H40" s="113">
        <v>14</v>
      </c>
      <c r="I40" s="113">
        <v>15</v>
      </c>
      <c r="J40" s="113">
        <v>16</v>
      </c>
      <c r="K40" s="113">
        <v>17</v>
      </c>
      <c r="L40" s="113">
        <v>18</v>
      </c>
      <c r="M40" s="113">
        <v>19</v>
      </c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>
        <v>13</v>
      </c>
      <c r="BM40" s="113"/>
      <c r="BN40" s="113">
        <v>19</v>
      </c>
      <c r="BO40" s="113"/>
      <c r="BP40" s="113" t="s">
        <v>137</v>
      </c>
      <c r="BQ40" s="113" t="s">
        <v>57</v>
      </c>
      <c r="BR40" s="113"/>
      <c r="BS40" s="113"/>
      <c r="BT40" s="113"/>
      <c r="BU40" s="119">
        <v>1</v>
      </c>
      <c r="BV40" s="119">
        <v>0</v>
      </c>
      <c r="BW40" s="119">
        <v>0</v>
      </c>
      <c r="BX40" s="119">
        <v>0</v>
      </c>
      <c r="BY40" s="133" t="str">
        <f>IF($BU40=0,"N/A",IF(AND($BP40="Level 1-6 (3-57 point)",MIN($G40:$BK40)&lt;Thresholds_Rates!$C$13),"Yes","No"))</f>
        <v>No</v>
      </c>
      <c r="BZ40" s="133" t="str">
        <f>IF(SUM($BW40:$BX40)=0,"N/A",IF(AND($BP40="Level 1-6 (3-57 point)",MAX($G40:$BK40)&gt;Thresholds_Rates!$C$14),"Yes","No"))</f>
        <v>N/A</v>
      </c>
    </row>
    <row r="41" spans="1:78" x14ac:dyDescent="0.25">
      <c r="A41" s="113" t="s">
        <v>173</v>
      </c>
      <c r="B41" s="113">
        <v>2</v>
      </c>
      <c r="C41" s="113" t="s">
        <v>168</v>
      </c>
      <c r="D41" s="113" t="s">
        <v>169</v>
      </c>
      <c r="E41" s="113"/>
      <c r="F41" s="125">
        <f t="shared" si="2"/>
        <v>1</v>
      </c>
      <c r="G41" s="113">
        <v>20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>
        <v>20</v>
      </c>
      <c r="BM41" s="113"/>
      <c r="BN41" s="113"/>
      <c r="BO41" s="113"/>
      <c r="BP41" s="113" t="s">
        <v>137</v>
      </c>
      <c r="BQ41" s="113" t="s">
        <v>57</v>
      </c>
      <c r="BR41" s="113"/>
      <c r="BS41" s="113"/>
      <c r="BT41" s="113"/>
      <c r="BU41" s="119">
        <v>1</v>
      </c>
      <c r="BV41" s="119">
        <v>0</v>
      </c>
      <c r="BW41" s="119">
        <v>0</v>
      </c>
      <c r="BX41" s="119">
        <v>0</v>
      </c>
      <c r="BY41" s="133" t="str">
        <f>IF($BU41=0,"N/A",IF(AND($BP41="Level 1-6 (3-57 point)",MIN($G41:$BK41)&lt;Thresholds_Rates!$C$13),"Yes","No"))</f>
        <v>No</v>
      </c>
      <c r="BZ41" s="133" t="str">
        <f>IF(SUM($BW41:$BX41)=0,"N/A",IF(AND($BP41="Level 1-6 (3-57 point)",MAX($G41:$BK41)&gt;Thresholds_Rates!$C$14),"Yes","No"))</f>
        <v>N/A</v>
      </c>
    </row>
    <row r="42" spans="1:78" x14ac:dyDescent="0.25">
      <c r="A42" s="114" t="s">
        <v>174</v>
      </c>
      <c r="B42" s="113">
        <v>2</v>
      </c>
      <c r="C42" s="113" t="s">
        <v>283</v>
      </c>
      <c r="D42" s="113" t="s">
        <v>284</v>
      </c>
      <c r="E42" s="113"/>
      <c r="F42" s="125">
        <f t="shared" si="2"/>
        <v>3</v>
      </c>
      <c r="G42" s="112">
        <v>10</v>
      </c>
      <c r="H42" s="112">
        <v>11</v>
      </c>
      <c r="I42" s="112">
        <v>12</v>
      </c>
      <c r="J42" s="112"/>
      <c r="K42" s="112"/>
      <c r="L42" s="112"/>
      <c r="M42" s="112"/>
      <c r="N42" s="112"/>
      <c r="O42" s="112"/>
      <c r="P42" s="112"/>
      <c r="Q42" s="112"/>
      <c r="R42" s="112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2">
        <v>8</v>
      </c>
      <c r="BM42" s="112">
        <v>11</v>
      </c>
      <c r="BN42" s="112">
        <v>12</v>
      </c>
      <c r="BO42" s="113"/>
      <c r="BP42" s="113" t="s">
        <v>127</v>
      </c>
      <c r="BQ42" s="112" t="s">
        <v>59</v>
      </c>
      <c r="BR42" s="112" t="s">
        <v>60</v>
      </c>
      <c r="BS42" s="113"/>
      <c r="BT42" s="113"/>
      <c r="BU42" s="119">
        <f t="shared" ref="BU42:BX49" si="4">COUNTIF($BQ42:$BT42,BU$6)</f>
        <v>0</v>
      </c>
      <c r="BV42" s="119">
        <f t="shared" si="4"/>
        <v>0</v>
      </c>
      <c r="BW42" s="119">
        <f t="shared" si="4"/>
        <v>1</v>
      </c>
      <c r="BX42" s="119">
        <f t="shared" si="4"/>
        <v>1</v>
      </c>
      <c r="BY42" s="133" t="str">
        <f>IF($BU42=0,"N/A",IF(AND($BP42="Level 1-6 (3-57 point)",MIN($G42:$BK42)&lt;Thresholds_Rates!$C$13),"Yes","No"))</f>
        <v>N/A</v>
      </c>
      <c r="BZ42" s="133" t="str">
        <f>IF(SUM($BW42:$BX42)=0,"N/A",IF(AND($BP42="Level 1-6 (3-57 point)",MAX($G42:$BK42)&gt;Thresholds_Rates!$C$14),"Yes","No"))</f>
        <v>No</v>
      </c>
    </row>
    <row r="43" spans="1:78" x14ac:dyDescent="0.25">
      <c r="A43" s="114" t="s">
        <v>175</v>
      </c>
      <c r="B43" s="113">
        <v>2</v>
      </c>
      <c r="C43" s="113" t="s">
        <v>283</v>
      </c>
      <c r="D43" s="113" t="s">
        <v>284</v>
      </c>
      <c r="E43" s="113"/>
      <c r="F43" s="125">
        <f t="shared" si="2"/>
        <v>9</v>
      </c>
      <c r="G43" s="112">
        <v>13</v>
      </c>
      <c r="H43" s="112">
        <v>14</v>
      </c>
      <c r="I43" s="112">
        <v>15</v>
      </c>
      <c r="J43" s="112">
        <v>16</v>
      </c>
      <c r="K43" s="112">
        <v>17</v>
      </c>
      <c r="L43" s="112">
        <v>18</v>
      </c>
      <c r="M43" s="112">
        <v>19</v>
      </c>
      <c r="N43" s="112">
        <v>20</v>
      </c>
      <c r="O43" s="113">
        <v>21</v>
      </c>
      <c r="P43" s="112"/>
      <c r="Q43" s="112"/>
      <c r="R43" s="112"/>
      <c r="S43" s="112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2">
        <v>13</v>
      </c>
      <c r="BM43" s="112">
        <v>18</v>
      </c>
      <c r="BN43" s="112">
        <v>21</v>
      </c>
      <c r="BO43" s="113"/>
      <c r="BP43" s="113" t="s">
        <v>127</v>
      </c>
      <c r="BQ43" s="112" t="s">
        <v>59</v>
      </c>
      <c r="BR43" s="112" t="s">
        <v>60</v>
      </c>
      <c r="BS43" s="113"/>
      <c r="BT43" s="113"/>
      <c r="BU43" s="119">
        <f t="shared" si="4"/>
        <v>0</v>
      </c>
      <c r="BV43" s="119">
        <f t="shared" si="4"/>
        <v>0</v>
      </c>
      <c r="BW43" s="119">
        <f t="shared" si="4"/>
        <v>1</v>
      </c>
      <c r="BX43" s="119">
        <f t="shared" si="4"/>
        <v>1</v>
      </c>
      <c r="BY43" s="133" t="str">
        <f>IF($BU43=0,"N/A",IF(AND($BP43="Level 1-6 (3-57 point)",MIN($G43:$BK43)&lt;Thresholds_Rates!$C$13),"Yes","No"))</f>
        <v>N/A</v>
      </c>
      <c r="BZ43" s="133" t="str">
        <f>IF(SUM($BW43:$BX43)=0,"N/A",IF(AND($BP43="Level 1-6 (3-57 point)",MAX($G43:$BK43)&gt;Thresholds_Rates!$C$14),"Yes","No"))</f>
        <v>No</v>
      </c>
    </row>
    <row r="44" spans="1:78" x14ac:dyDescent="0.25">
      <c r="A44" s="114" t="s">
        <v>176</v>
      </c>
      <c r="B44" s="113">
        <v>2</v>
      </c>
      <c r="C44" s="113" t="s">
        <v>283</v>
      </c>
      <c r="D44" s="113" t="s">
        <v>284</v>
      </c>
      <c r="E44" s="113"/>
      <c r="F44" s="125">
        <f t="shared" si="2"/>
        <v>11</v>
      </c>
      <c r="G44" s="112">
        <v>20</v>
      </c>
      <c r="H44" s="112">
        <v>21</v>
      </c>
      <c r="I44" s="112">
        <v>22</v>
      </c>
      <c r="J44" s="112">
        <v>23</v>
      </c>
      <c r="K44" s="112">
        <v>24</v>
      </c>
      <c r="L44" s="112">
        <v>25</v>
      </c>
      <c r="M44" s="112">
        <v>26</v>
      </c>
      <c r="N44" s="112">
        <v>27</v>
      </c>
      <c r="O44" s="112">
        <v>28</v>
      </c>
      <c r="P44" s="113">
        <v>29</v>
      </c>
      <c r="Q44" s="113">
        <v>30</v>
      </c>
      <c r="R44" s="112"/>
      <c r="S44" s="112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2">
        <v>20</v>
      </c>
      <c r="BM44" s="112">
        <v>27</v>
      </c>
      <c r="BN44" s="112">
        <v>30</v>
      </c>
      <c r="BO44" s="113"/>
      <c r="BP44" s="113" t="s">
        <v>127</v>
      </c>
      <c r="BQ44" s="112" t="s">
        <v>59</v>
      </c>
      <c r="BR44" s="112" t="s">
        <v>60</v>
      </c>
      <c r="BS44" s="113"/>
      <c r="BT44" s="113"/>
      <c r="BU44" s="119">
        <f t="shared" si="4"/>
        <v>0</v>
      </c>
      <c r="BV44" s="119">
        <f t="shared" si="4"/>
        <v>0</v>
      </c>
      <c r="BW44" s="119">
        <f t="shared" si="4"/>
        <v>1</v>
      </c>
      <c r="BX44" s="119">
        <f t="shared" si="4"/>
        <v>1</v>
      </c>
      <c r="BY44" s="133" t="str">
        <f>IF($BU44=0,"N/A",IF(AND($BP44="Level 1-6 (3-57 point)",MIN($G44:$BK44)&lt;Thresholds_Rates!$C$13),"Yes","No"))</f>
        <v>N/A</v>
      </c>
      <c r="BZ44" s="133" t="str">
        <f>IF(SUM($BW44:$BX44)=0,"N/A",IF(AND($BP44="Level 1-6 (3-57 point)",MAX($G44:$BK44)&gt;Thresholds_Rates!$C$14),"Yes","No"))</f>
        <v>No</v>
      </c>
    </row>
    <row r="45" spans="1:78" x14ac:dyDescent="0.25">
      <c r="A45" s="114" t="s">
        <v>177</v>
      </c>
      <c r="B45" s="113">
        <v>2</v>
      </c>
      <c r="C45" s="113" t="s">
        <v>125</v>
      </c>
      <c r="D45" s="113" t="s">
        <v>126</v>
      </c>
      <c r="E45" s="113"/>
      <c r="F45" s="125">
        <f t="shared" si="2"/>
        <v>13</v>
      </c>
      <c r="G45" s="112">
        <v>27</v>
      </c>
      <c r="H45" s="112">
        <v>28</v>
      </c>
      <c r="I45" s="112">
        <v>29</v>
      </c>
      <c r="J45" s="112">
        <v>30</v>
      </c>
      <c r="K45" s="112">
        <v>31</v>
      </c>
      <c r="L45" s="112">
        <v>32</v>
      </c>
      <c r="M45" s="112">
        <v>33</v>
      </c>
      <c r="N45" s="112">
        <v>34</v>
      </c>
      <c r="O45" s="112">
        <v>35</v>
      </c>
      <c r="P45" s="112">
        <v>36</v>
      </c>
      <c r="Q45" s="112">
        <v>37</v>
      </c>
      <c r="R45" s="112">
        <v>38</v>
      </c>
      <c r="S45" s="112">
        <v>39</v>
      </c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2">
        <v>27</v>
      </c>
      <c r="BM45" s="112">
        <v>37</v>
      </c>
      <c r="BN45" s="112">
        <v>39</v>
      </c>
      <c r="BO45" s="113"/>
      <c r="BP45" s="113" t="s">
        <v>127</v>
      </c>
      <c r="BQ45" s="112" t="s">
        <v>57</v>
      </c>
      <c r="BR45" s="113"/>
      <c r="BS45" s="113"/>
      <c r="BT45" s="113"/>
      <c r="BU45" s="119">
        <f t="shared" si="4"/>
        <v>1</v>
      </c>
      <c r="BV45" s="119">
        <f t="shared" si="4"/>
        <v>0</v>
      </c>
      <c r="BW45" s="119">
        <f t="shared" si="4"/>
        <v>0</v>
      </c>
      <c r="BX45" s="119">
        <f t="shared" si="4"/>
        <v>0</v>
      </c>
      <c r="BY45" s="133" t="str">
        <f>IF($BU45=0,"N/A",IF(AND($BP45="Level 1-6 (3-57 point)",MIN($G45:$BK45)&lt;Thresholds_Rates!$C$13),"Yes","No"))</f>
        <v>No</v>
      </c>
      <c r="BZ45" s="133" t="str">
        <f>IF(SUM($BW45:$BX45)=0,"N/A",IF(AND($BP45="Level 1-6 (3-57 point)",MAX($G45:$BK45)&gt;Thresholds_Rates!$C$14),"Yes","No"))</f>
        <v>N/A</v>
      </c>
    </row>
    <row r="46" spans="1:78" x14ac:dyDescent="0.25">
      <c r="A46" s="114" t="s">
        <v>178</v>
      </c>
      <c r="B46" s="113">
        <v>2</v>
      </c>
      <c r="C46" s="113" t="s">
        <v>125</v>
      </c>
      <c r="D46" s="113" t="s">
        <v>126</v>
      </c>
      <c r="E46" s="113"/>
      <c r="F46" s="125">
        <f t="shared" si="2"/>
        <v>13</v>
      </c>
      <c r="G46" s="112">
        <v>36</v>
      </c>
      <c r="H46" s="112">
        <v>37</v>
      </c>
      <c r="I46" s="112">
        <v>38</v>
      </c>
      <c r="J46" s="112">
        <v>39</v>
      </c>
      <c r="K46" s="112">
        <v>40</v>
      </c>
      <c r="L46" s="112">
        <v>41</v>
      </c>
      <c r="M46" s="112">
        <v>42</v>
      </c>
      <c r="N46" s="112">
        <v>43</v>
      </c>
      <c r="O46" s="112">
        <v>44</v>
      </c>
      <c r="P46" s="112">
        <v>45</v>
      </c>
      <c r="Q46" s="112">
        <v>46</v>
      </c>
      <c r="R46" s="112">
        <v>47</v>
      </c>
      <c r="S46" s="112">
        <v>48</v>
      </c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2">
        <v>36</v>
      </c>
      <c r="BM46" s="112">
        <v>44</v>
      </c>
      <c r="BN46" s="112">
        <v>48</v>
      </c>
      <c r="BO46" s="113"/>
      <c r="BP46" s="113" t="s">
        <v>127</v>
      </c>
      <c r="BQ46" s="112" t="s">
        <v>57</v>
      </c>
      <c r="BR46" s="113"/>
      <c r="BS46" s="113"/>
      <c r="BT46" s="113"/>
      <c r="BU46" s="119">
        <f t="shared" si="4"/>
        <v>1</v>
      </c>
      <c r="BV46" s="119">
        <f t="shared" si="4"/>
        <v>0</v>
      </c>
      <c r="BW46" s="119">
        <f t="shared" si="4"/>
        <v>0</v>
      </c>
      <c r="BX46" s="119">
        <f t="shared" si="4"/>
        <v>0</v>
      </c>
      <c r="BY46" s="133" t="str">
        <f>IF($BU46=0,"N/A",IF(AND($BP46="Level 1-6 (3-57 point)",MIN($G46:$BK46)&lt;Thresholds_Rates!$C$13),"Yes","No"))</f>
        <v>No</v>
      </c>
      <c r="BZ46" s="133" t="str">
        <f>IF(SUM($BW46:$BX46)=0,"N/A",IF(AND($BP46="Level 1-6 (3-57 point)",MAX($G46:$BK46)&gt;Thresholds_Rates!$C$14),"Yes","No"))</f>
        <v>N/A</v>
      </c>
    </row>
    <row r="47" spans="1:78" x14ac:dyDescent="0.25">
      <c r="A47" s="114" t="s">
        <v>179</v>
      </c>
      <c r="B47" s="113">
        <v>2</v>
      </c>
      <c r="C47" s="113" t="s">
        <v>125</v>
      </c>
      <c r="D47" s="113" t="s">
        <v>126</v>
      </c>
      <c r="E47" s="113"/>
      <c r="F47" s="125">
        <f t="shared" si="2"/>
        <v>13</v>
      </c>
      <c r="G47" s="112">
        <v>45</v>
      </c>
      <c r="H47" s="112">
        <v>46</v>
      </c>
      <c r="I47" s="112">
        <v>47</v>
      </c>
      <c r="J47" s="112">
        <v>48</v>
      </c>
      <c r="K47" s="112">
        <v>49</v>
      </c>
      <c r="L47" s="112">
        <v>50</v>
      </c>
      <c r="M47" s="112">
        <v>51</v>
      </c>
      <c r="N47" s="112">
        <v>52</v>
      </c>
      <c r="O47" s="112">
        <v>53</v>
      </c>
      <c r="P47" s="112">
        <v>54</v>
      </c>
      <c r="Q47" s="112">
        <v>55</v>
      </c>
      <c r="R47" s="112">
        <v>56</v>
      </c>
      <c r="S47" s="112">
        <v>57</v>
      </c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2">
        <v>45</v>
      </c>
      <c r="BM47" s="112">
        <v>52</v>
      </c>
      <c r="BN47" s="112">
        <v>57</v>
      </c>
      <c r="BO47" s="113"/>
      <c r="BP47" s="113" t="s">
        <v>127</v>
      </c>
      <c r="BQ47" s="112" t="s">
        <v>57</v>
      </c>
      <c r="BR47" s="113"/>
      <c r="BS47" s="113"/>
      <c r="BT47" s="113"/>
      <c r="BU47" s="119">
        <f t="shared" si="4"/>
        <v>1</v>
      </c>
      <c r="BV47" s="119">
        <f t="shared" si="4"/>
        <v>0</v>
      </c>
      <c r="BW47" s="119">
        <f t="shared" si="4"/>
        <v>0</v>
      </c>
      <c r="BX47" s="119">
        <f t="shared" si="4"/>
        <v>0</v>
      </c>
      <c r="BY47" s="133" t="str">
        <f>IF($BU47=0,"N/A",IF(AND($BP47="Level 1-6 (3-57 point)",MIN($G47:$BK47)&lt;Thresholds_Rates!$C$13),"Yes","No"))</f>
        <v>No</v>
      </c>
      <c r="BZ47" s="133" t="str">
        <f>IF(SUM($BW47:$BX47)=0,"N/A",IF(AND($BP47="Level 1-6 (3-57 point)",MAX($G47:$BK47)&gt;Thresholds_Rates!$C$14),"Yes","No"))</f>
        <v>N/A</v>
      </c>
    </row>
    <row r="48" spans="1:78" x14ac:dyDescent="0.25">
      <c r="A48" s="114" t="s">
        <v>180</v>
      </c>
      <c r="B48" s="113">
        <v>2</v>
      </c>
      <c r="C48" s="113" t="s">
        <v>135</v>
      </c>
      <c r="D48" s="113" t="s">
        <v>136</v>
      </c>
      <c r="E48" s="113"/>
      <c r="F48" s="125">
        <f t="shared" si="2"/>
        <v>26</v>
      </c>
      <c r="G48" s="112">
        <v>1</v>
      </c>
      <c r="H48" s="112">
        <v>2</v>
      </c>
      <c r="I48" s="112">
        <v>3</v>
      </c>
      <c r="J48" s="112">
        <v>4</v>
      </c>
      <c r="K48" s="112">
        <v>5</v>
      </c>
      <c r="L48" s="112">
        <v>6</v>
      </c>
      <c r="M48" s="112">
        <v>7</v>
      </c>
      <c r="N48" s="112">
        <v>8</v>
      </c>
      <c r="O48" s="112">
        <v>9</v>
      </c>
      <c r="P48" s="112">
        <v>10</v>
      </c>
      <c r="Q48" s="112">
        <v>11</v>
      </c>
      <c r="R48" s="112">
        <v>12</v>
      </c>
      <c r="S48" s="112">
        <v>13</v>
      </c>
      <c r="T48" s="112">
        <v>14</v>
      </c>
      <c r="U48" s="112">
        <v>15</v>
      </c>
      <c r="V48" s="112">
        <v>16</v>
      </c>
      <c r="W48" s="112">
        <v>17</v>
      </c>
      <c r="X48" s="112">
        <v>18</v>
      </c>
      <c r="Y48" s="112">
        <v>19</v>
      </c>
      <c r="Z48" s="112">
        <v>20</v>
      </c>
      <c r="AA48" s="112">
        <v>21</v>
      </c>
      <c r="AB48" s="112">
        <v>22</v>
      </c>
      <c r="AC48" s="112">
        <v>23</v>
      </c>
      <c r="AD48" s="112">
        <v>24</v>
      </c>
      <c r="AE48" s="112">
        <v>25</v>
      </c>
      <c r="AF48" s="112">
        <v>26</v>
      </c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2">
        <v>1</v>
      </c>
      <c r="BM48" s="112">
        <v>17</v>
      </c>
      <c r="BN48" s="112">
        <v>26</v>
      </c>
      <c r="BO48" s="113"/>
      <c r="BP48" s="113" t="s">
        <v>137</v>
      </c>
      <c r="BQ48" s="112" t="s">
        <v>57</v>
      </c>
      <c r="BR48" s="113"/>
      <c r="BS48" s="113"/>
      <c r="BT48" s="113"/>
      <c r="BU48" s="119">
        <f t="shared" si="4"/>
        <v>1</v>
      </c>
      <c r="BV48" s="119">
        <f t="shared" si="4"/>
        <v>0</v>
      </c>
      <c r="BW48" s="119">
        <f t="shared" si="4"/>
        <v>0</v>
      </c>
      <c r="BX48" s="119">
        <f t="shared" si="4"/>
        <v>0</v>
      </c>
      <c r="BY48" s="133" t="str">
        <f>IF($BU48=0,"N/A",IF(AND($BP48="Level 1-6 (3-57 point)",MIN($G48:$BK48)&lt;Thresholds_Rates!$C$13),"Yes","No"))</f>
        <v>No</v>
      </c>
      <c r="BZ48" s="133" t="str">
        <f>IF(SUM($BW48:$BX48)=0,"N/A",IF(AND($BP48="Level 1-6 (3-57 point)",MAX($G48:$BK48)&gt;Thresholds_Rates!$C$14),"Yes","No"))</f>
        <v>N/A</v>
      </c>
    </row>
    <row r="49" spans="1:78" x14ac:dyDescent="0.25">
      <c r="A49" s="232" t="s">
        <v>181</v>
      </c>
      <c r="B49" s="116">
        <v>2</v>
      </c>
      <c r="C49" s="116" t="s">
        <v>283</v>
      </c>
      <c r="D49" s="116" t="s">
        <v>284</v>
      </c>
      <c r="E49" s="116"/>
      <c r="F49" s="126">
        <f t="shared" si="2"/>
        <v>2</v>
      </c>
      <c r="G49" s="115">
        <v>10</v>
      </c>
      <c r="H49" s="115">
        <v>11</v>
      </c>
      <c r="I49" s="115"/>
      <c r="J49" s="115"/>
      <c r="K49" s="115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5">
        <v>8</v>
      </c>
      <c r="BM49" s="115"/>
      <c r="BN49" s="115">
        <v>11</v>
      </c>
      <c r="BO49" s="116"/>
      <c r="BP49" s="116" t="s">
        <v>127</v>
      </c>
      <c r="BQ49" s="115" t="s">
        <v>59</v>
      </c>
      <c r="BR49" s="115" t="s">
        <v>60</v>
      </c>
      <c r="BS49" s="116"/>
      <c r="BT49" s="116"/>
      <c r="BU49" s="120">
        <f t="shared" si="4"/>
        <v>0</v>
      </c>
      <c r="BV49" s="120">
        <f t="shared" si="4"/>
        <v>0</v>
      </c>
      <c r="BW49" s="120">
        <f t="shared" si="4"/>
        <v>1</v>
      </c>
      <c r="BX49" s="120">
        <f t="shared" si="4"/>
        <v>1</v>
      </c>
      <c r="BY49" s="151" t="str">
        <f>IF($BU49=0,"N/A",IF(AND($BP49="Level 1-6 (3-57 point)",MIN($G49:$BK49)&lt;Thresholds_Rates!$C$13),"Yes","No"))</f>
        <v>N/A</v>
      </c>
      <c r="BZ49" s="133" t="str">
        <f>IF(SUM($BW49:$BX49)=0,"N/A",IF(AND($BP49="Level 1-6 (3-57 point)",MAX($G49:$BK49)&gt;Thresholds_Rates!$C$14),"Yes","No"))</f>
        <v>No</v>
      </c>
    </row>
    <row r="50" spans="1:78" x14ac:dyDescent="0.25">
      <c r="A50" s="250"/>
    </row>
  </sheetData>
  <sheetProtection selectLockedCells="1"/>
  <autoFilter ref="A6:BZ49" xr:uid="{00000000-0001-0000-0400-000000000000}">
    <filterColumn colId="68" showButton="0"/>
    <filterColumn colId="69" showButton="0"/>
    <filterColumn colId="70" showButton="0"/>
    <sortState xmlns:xlrd2="http://schemas.microsoft.com/office/spreadsheetml/2017/richdata2" ref="A7:BZ49">
      <sortCondition ref="B7:B49"/>
      <sortCondition ref="A7:A49"/>
    </sortState>
  </autoFilter>
  <mergeCells count="11">
    <mergeCell ref="BU4:BX4"/>
    <mergeCell ref="BU5:BX5"/>
    <mergeCell ref="BQ3:BZ3"/>
    <mergeCell ref="C5:D5"/>
    <mergeCell ref="C4:D4"/>
    <mergeCell ref="BQ5:BT5"/>
    <mergeCell ref="G5:BK5"/>
    <mergeCell ref="BL5:BN5"/>
    <mergeCell ref="BL4:BN4"/>
    <mergeCell ref="G4:BK4"/>
    <mergeCell ref="BQ4:BT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4A56CA-99E3-4D07-835A-A4D848C58677}">
          <x14:formula1>
            <xm:f>Thresholds_Rates!$H$12:$H$14</xm:f>
          </x14:formula1>
          <xm:sqref>BP8:BP49</xm:sqref>
        </x14:dataValidation>
        <x14:dataValidation type="list" allowBlank="1" showInputMessage="1" showErrorMessage="1" xr:uid="{479D29ED-F8EC-4322-9844-C91D27710776}">
          <x14:formula1>
            <xm:f>Thresholds_Rates!$J$12:$J$12</xm:f>
          </x14:formula1>
          <xm:sqref>BO7:BO49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/>
  </sheetPr>
  <dimension ref="A2:AX286"/>
  <sheetViews>
    <sheetView showGridLines="0" zoomScaleNormal="100" workbookViewId="0">
      <pane ySplit="3" topLeftCell="A4" activePane="bottomLeft" state="frozenSplit"/>
      <selection activeCell="E6" sqref="E6"/>
      <selection pane="bottomLeft" activeCell="E6" sqref="E6"/>
    </sheetView>
  </sheetViews>
  <sheetFormatPr defaultColWidth="9.140625" defaultRowHeight="15" x14ac:dyDescent="0.25"/>
  <cols>
    <col min="1" max="1" width="11.85546875" style="1" customWidth="1"/>
    <col min="2" max="2" width="10.42578125" style="1" customWidth="1"/>
    <col min="3" max="3" width="33.85546875" style="7" customWidth="1"/>
    <col min="4" max="4" width="20.85546875" style="1" customWidth="1"/>
    <col min="5" max="5" width="20" style="1" customWidth="1"/>
    <col min="6" max="6" width="12.28515625" style="7" customWidth="1"/>
    <col min="7" max="9" width="10.42578125" style="1" customWidth="1"/>
    <col min="10" max="10" width="16.85546875" style="1" customWidth="1"/>
    <col min="11" max="15" width="10.42578125" style="1" customWidth="1"/>
    <col min="16" max="16" width="47.85546875" style="1" customWidth="1"/>
    <col min="17" max="17" width="12.140625" style="1" bestFit="1" customWidth="1"/>
    <col min="18" max="18" width="6.28515625" style="1" customWidth="1"/>
    <col min="19" max="19" width="19.42578125" style="1" customWidth="1"/>
    <col min="20" max="20" width="11.7109375" style="1" customWidth="1"/>
    <col min="21" max="21" width="9.140625" style="1" customWidth="1"/>
    <col min="22" max="22" width="25" style="1" customWidth="1"/>
    <col min="23" max="23" width="9.140625" style="1" customWidth="1"/>
    <col min="24" max="24" width="13.42578125" style="1" bestFit="1" customWidth="1"/>
    <col min="25" max="25" width="9.140625" style="1" customWidth="1"/>
    <col min="26" max="26" width="15.42578125" style="1" customWidth="1"/>
    <col min="27" max="27" width="19" style="1" customWidth="1"/>
    <col min="28" max="28" width="9.140625" style="1" customWidth="1"/>
    <col min="29" max="29" width="25.42578125" style="1" bestFit="1" customWidth="1"/>
    <col min="30" max="30" width="14.140625" style="1" customWidth="1"/>
    <col min="31" max="31" width="9.42578125" style="1" bestFit="1" customWidth="1"/>
    <col min="32" max="32" width="9.5703125" style="1" bestFit="1" customWidth="1"/>
    <col min="33" max="35" width="11" style="1" bestFit="1" customWidth="1"/>
    <col min="36" max="36" width="26" style="1" customWidth="1"/>
    <col min="37" max="38" width="20.140625" style="1" customWidth="1"/>
    <col min="39" max="39" width="11" style="1" customWidth="1"/>
    <col min="40" max="40" width="9.140625" style="1" customWidth="1"/>
    <col min="41" max="41" width="19.7109375" style="1" customWidth="1"/>
    <col min="42" max="43" width="9.140625" style="1" customWidth="1"/>
    <col min="44" max="44" width="9.140625" style="25" customWidth="1"/>
    <col min="45" max="47" width="9.140625" style="1" customWidth="1"/>
    <col min="48" max="48" width="12" style="1" customWidth="1"/>
    <col min="49" max="49" width="11.28515625" style="1" bestFit="1" customWidth="1"/>
    <col min="50" max="50" width="9.140625" style="1" customWidth="1"/>
    <col min="51" max="16384" width="9.140625" style="1"/>
  </cols>
  <sheetData>
    <row r="2" spans="1:50" ht="116.25" customHeight="1" x14ac:dyDescent="0.25">
      <c r="A2" s="345" t="s">
        <v>182</v>
      </c>
      <c r="B2" s="345"/>
      <c r="C2" s="349" t="s">
        <v>183</v>
      </c>
      <c r="D2" s="345" t="s">
        <v>184</v>
      </c>
      <c r="E2" s="345"/>
      <c r="F2" s="5"/>
      <c r="G2" s="3"/>
      <c r="H2" s="3"/>
      <c r="I2" s="3"/>
      <c r="J2" s="3"/>
      <c r="K2" s="3"/>
      <c r="L2" s="3" t="s">
        <v>185</v>
      </c>
      <c r="M2" s="3"/>
      <c r="N2" s="3"/>
      <c r="O2" s="3" t="s">
        <v>185</v>
      </c>
      <c r="P2" s="98" t="s">
        <v>186</v>
      </c>
      <c r="Q2" s="97"/>
      <c r="R2" s="3"/>
      <c r="S2" s="5" t="s">
        <v>187</v>
      </c>
      <c r="T2" s="3"/>
      <c r="U2" s="3"/>
      <c r="V2" s="101" t="s">
        <v>188</v>
      </c>
      <c r="W2" s="102" t="s">
        <v>189</v>
      </c>
      <c r="X2" s="3"/>
      <c r="Y2" s="3"/>
      <c r="Z2" s="3"/>
      <c r="AA2" s="3"/>
      <c r="AB2" s="3"/>
      <c r="AC2" s="101" t="s">
        <v>190</v>
      </c>
      <c r="AD2" s="102" t="s">
        <v>189</v>
      </c>
      <c r="AE2" s="3"/>
      <c r="AF2" s="3"/>
      <c r="AG2" s="3"/>
      <c r="AH2" s="3"/>
      <c r="AI2" s="3"/>
      <c r="AJ2" s="101" t="s">
        <v>191</v>
      </c>
      <c r="AK2" s="100" t="s">
        <v>281</v>
      </c>
      <c r="AL2" s="3"/>
      <c r="AM2" s="3"/>
      <c r="AN2" s="3"/>
      <c r="AO2" s="3"/>
      <c r="AP2" s="3"/>
      <c r="AQ2" s="3"/>
      <c r="AS2" s="4"/>
      <c r="AT2" s="4"/>
      <c r="AU2" s="4"/>
      <c r="AV2" s="4"/>
      <c r="AW2" s="4"/>
    </row>
    <row r="3" spans="1:50" ht="91.5" customHeight="1" x14ac:dyDescent="0.25">
      <c r="A3" s="2" t="s">
        <v>192</v>
      </c>
      <c r="B3" s="2" t="s">
        <v>4</v>
      </c>
      <c r="C3" s="349"/>
      <c r="D3" s="2" t="s">
        <v>192</v>
      </c>
      <c r="E3" s="2" t="s">
        <v>4</v>
      </c>
      <c r="F3" s="5"/>
      <c r="G3" s="2" t="s">
        <v>193</v>
      </c>
      <c r="H3" s="16" t="s">
        <v>4</v>
      </c>
      <c r="I3" s="6"/>
      <c r="J3" s="16" t="s">
        <v>194</v>
      </c>
      <c r="K3" s="16" t="s">
        <v>4</v>
      </c>
      <c r="L3" s="6"/>
      <c r="M3" s="2" t="s">
        <v>195</v>
      </c>
      <c r="N3" s="16" t="s">
        <v>4</v>
      </c>
      <c r="O3" s="6"/>
      <c r="P3" s="2" t="s">
        <v>196</v>
      </c>
      <c r="Q3" s="16" t="s">
        <v>4</v>
      </c>
      <c r="R3" s="6"/>
      <c r="S3" s="2" t="s">
        <v>197</v>
      </c>
      <c r="T3" s="2" t="s">
        <v>4</v>
      </c>
      <c r="U3" s="3"/>
      <c r="V3" s="2" t="s">
        <v>158</v>
      </c>
      <c r="W3" s="2" t="s">
        <v>198</v>
      </c>
      <c r="X3" s="2" t="s">
        <v>4</v>
      </c>
      <c r="Y3" s="2" t="s">
        <v>199</v>
      </c>
      <c r="Z3" s="2" t="s">
        <v>200</v>
      </c>
      <c r="AA3" s="2" t="s">
        <v>201</v>
      </c>
      <c r="AB3" s="3"/>
      <c r="AC3" s="2" t="s">
        <v>163</v>
      </c>
      <c r="AD3" s="2" t="s">
        <v>198</v>
      </c>
      <c r="AE3" s="2" t="s">
        <v>4</v>
      </c>
      <c r="AF3" s="2" t="s">
        <v>199</v>
      </c>
      <c r="AG3" s="2" t="s">
        <v>200</v>
      </c>
      <c r="AH3" s="2" t="s">
        <v>201</v>
      </c>
      <c r="AI3" s="3"/>
      <c r="AJ3" s="2" t="s">
        <v>138</v>
      </c>
      <c r="AK3" s="2" t="s">
        <v>202</v>
      </c>
      <c r="AL3" s="2" t="s">
        <v>228</v>
      </c>
      <c r="AM3" s="2" t="s">
        <v>4</v>
      </c>
      <c r="AN3" s="3"/>
      <c r="AO3" s="2" t="s">
        <v>203</v>
      </c>
      <c r="AP3" s="2" t="s">
        <v>4</v>
      </c>
      <c r="AQ3" s="3"/>
      <c r="AR3" s="26" t="s">
        <v>204</v>
      </c>
      <c r="AS3" s="7"/>
      <c r="AT3" s="7"/>
      <c r="AU3" s="7"/>
      <c r="AV3" s="7"/>
      <c r="AW3" s="7"/>
      <c r="AX3" s="7"/>
    </row>
    <row r="4" spans="1:50" ht="37.5" x14ac:dyDescent="0.25">
      <c r="A4" s="8">
        <v>1</v>
      </c>
      <c r="B4" s="167">
        <v>18192</v>
      </c>
      <c r="C4" s="172" t="s">
        <v>205</v>
      </c>
      <c r="D4" s="8">
        <v>1</v>
      </c>
      <c r="E4" s="167"/>
      <c r="F4" s="169"/>
      <c r="G4" s="23">
        <v>1</v>
      </c>
      <c r="H4" s="24">
        <v>66890</v>
      </c>
      <c r="I4" s="19"/>
      <c r="J4" s="24">
        <v>1</v>
      </c>
      <c r="K4" s="24">
        <v>68896</v>
      </c>
      <c r="L4" s="11"/>
      <c r="M4" s="8">
        <v>1</v>
      </c>
      <c r="N4" s="24">
        <v>29384</v>
      </c>
      <c r="O4" s="11"/>
      <c r="P4" s="8">
        <v>1</v>
      </c>
      <c r="Q4" s="20">
        <v>35254</v>
      </c>
      <c r="R4" s="79"/>
      <c r="S4" s="78">
        <v>1</v>
      </c>
      <c r="T4" s="81">
        <v>88364</v>
      </c>
      <c r="U4" s="3"/>
      <c r="V4" s="8">
        <v>36</v>
      </c>
      <c r="W4" s="12">
        <v>0.05</v>
      </c>
      <c r="X4" s="204">
        <f>IF($W$2="Pre- pay award",SUMIF($A:$A,V4,$B:$B),SUMIF($D:$D,V4,$E:$E))</f>
        <v>43155</v>
      </c>
      <c r="Y4" s="177">
        <f t="shared" ref="Y4:Y16" si="0">ROUND(X4+(X4*W4),0)</f>
        <v>45313</v>
      </c>
      <c r="Z4" s="12">
        <v>0.15</v>
      </c>
      <c r="AA4" s="177">
        <f t="shared" ref="AA4:AA16" si="1">ROUND(X4*Z4,0)</f>
        <v>6473</v>
      </c>
      <c r="AB4" s="3"/>
      <c r="AC4" s="8">
        <v>45</v>
      </c>
      <c r="AD4" s="12">
        <v>0.1</v>
      </c>
      <c r="AE4" s="204">
        <f>IF($AD$2="Pre- pay award",SUMIF($A:$A,AC4,$B:$B),SUMIF($D:$D,AC4,$E:$E))</f>
        <v>56048</v>
      </c>
      <c r="AF4" s="177">
        <f t="shared" ref="AF4:AF16" si="2">ROUND(AE4+(AE4*AD4),0)</f>
        <v>61653</v>
      </c>
      <c r="AG4" s="12">
        <v>0.15</v>
      </c>
      <c r="AH4" s="177">
        <f t="shared" ref="AH4:AH16" si="3">ROUND(AE4*AG4,0)</f>
        <v>8407</v>
      </c>
      <c r="AI4" s="3"/>
      <c r="AJ4" s="226">
        <v>1</v>
      </c>
      <c r="AK4" s="226">
        <v>316</v>
      </c>
      <c r="AL4" s="8">
        <v>116</v>
      </c>
      <c r="AM4" s="8">
        <f>IF($AK$2="Pre- pay award",SUMIF($A:$A,AK4,$B:$B),SUMIF($D:$D,AK4,$E:$E))</f>
        <v>13229</v>
      </c>
      <c r="AN4" s="3"/>
      <c r="AO4" s="8">
        <v>9</v>
      </c>
      <c r="AP4" s="99">
        <v>20400</v>
      </c>
      <c r="AQ4" s="3"/>
      <c r="AR4" s="27" t="str">
        <f ca="1">IFERROR(MATCH(A4,OFFSET(Grades!$A$6,MATCH(Rates!$C$6,LIST,0),6,1,SUMIF(Grades!$A:$A,Rates!$C$6,Grades!$F:$F)),0),"-")</f>
        <v>-</v>
      </c>
    </row>
    <row r="5" spans="1:50" ht="37.5" x14ac:dyDescent="0.25">
      <c r="A5" s="8">
        <v>2</v>
      </c>
      <c r="B5" s="168">
        <v>18542</v>
      </c>
      <c r="C5" s="172" t="s">
        <v>206</v>
      </c>
      <c r="D5" s="8">
        <v>2</v>
      </c>
      <c r="E5" s="167"/>
      <c r="F5" s="170"/>
      <c r="G5" s="23">
        <v>2</v>
      </c>
      <c r="H5" s="24">
        <v>68224</v>
      </c>
      <c r="I5" s="19"/>
      <c r="J5" s="24">
        <v>2</v>
      </c>
      <c r="K5" s="24">
        <v>70962</v>
      </c>
      <c r="L5" s="11"/>
      <c r="M5" s="8">
        <v>2</v>
      </c>
      <c r="N5" s="24">
        <v>34012</v>
      </c>
      <c r="O5" s="11"/>
      <c r="P5" s="8">
        <v>2</v>
      </c>
      <c r="Q5" s="20">
        <v>37000</v>
      </c>
      <c r="R5" s="80"/>
      <c r="S5" s="78">
        <v>2</v>
      </c>
      <c r="T5" s="20">
        <v>91131</v>
      </c>
      <c r="U5" s="3"/>
      <c r="V5" s="8">
        <v>37</v>
      </c>
      <c r="W5" s="12">
        <v>0.05</v>
      </c>
      <c r="X5" s="204">
        <f t="shared" ref="X5:X16" si="4">IF($W$2="Pre- pay award",SUMIF($A:$A,V5,$B:$B),SUMIF($D:$D,V5,$E:$E))</f>
        <v>44414</v>
      </c>
      <c r="Y5" s="177">
        <f t="shared" si="0"/>
        <v>46635</v>
      </c>
      <c r="Z5" s="12">
        <v>0.15</v>
      </c>
      <c r="AA5" s="177">
        <f t="shared" si="1"/>
        <v>6662</v>
      </c>
      <c r="AB5" s="3"/>
      <c r="AC5" s="8">
        <v>46</v>
      </c>
      <c r="AD5" s="12">
        <v>0.1</v>
      </c>
      <c r="AE5" s="204">
        <f t="shared" ref="AE5:AE16" si="5">IF($AD$2="Pre- pay award",SUMIF($A:$A,AC5,$B:$B),SUMIF($D:$D,AC5,$E:$E))</f>
        <v>57723</v>
      </c>
      <c r="AF5" s="177">
        <f t="shared" si="2"/>
        <v>63495</v>
      </c>
      <c r="AG5" s="12">
        <v>0.15</v>
      </c>
      <c r="AH5" s="177">
        <f t="shared" si="3"/>
        <v>8658</v>
      </c>
      <c r="AI5" s="3"/>
      <c r="AJ5" s="226">
        <v>2</v>
      </c>
      <c r="AK5" s="226">
        <v>316</v>
      </c>
      <c r="AL5" s="8">
        <v>216</v>
      </c>
      <c r="AM5" s="8">
        <f t="shared" ref="AM5:AM14" si="6">IF($AK$2="Pre- pay award",SUMIF($A:$A,AK5,$B:$B),SUMIF($D:$D,AK5,$E:$E))</f>
        <v>13229</v>
      </c>
      <c r="AN5" s="3"/>
      <c r="AO5" s="8">
        <v>10</v>
      </c>
      <c r="AP5" s="99">
        <v>20761</v>
      </c>
      <c r="AQ5" s="3"/>
      <c r="AR5" s="27" t="str">
        <f ca="1">IFERROR(MATCH(A5,OFFSET(Grades!$A$6,MATCH(Rates!$C$6,LIST,0),6,1,SUMIF(Grades!$A:$A,Rates!$C$6,Grades!$F:$F)),0),"-")</f>
        <v>-</v>
      </c>
    </row>
    <row r="6" spans="1:50" ht="18.75" customHeight="1" x14ac:dyDescent="0.2">
      <c r="A6" s="8">
        <v>3</v>
      </c>
      <c r="B6" s="22">
        <v>18898</v>
      </c>
      <c r="C6" s="172"/>
      <c r="D6" s="8">
        <v>3</v>
      </c>
      <c r="E6" s="99"/>
      <c r="F6" s="170"/>
      <c r="G6" s="23">
        <v>3</v>
      </c>
      <c r="H6" s="24">
        <v>69585</v>
      </c>
      <c r="I6" s="19"/>
      <c r="J6" s="24">
        <v>3</v>
      </c>
      <c r="K6" s="24">
        <v>73092</v>
      </c>
      <c r="L6" s="11"/>
      <c r="M6" s="8">
        <v>3</v>
      </c>
      <c r="N6" s="24">
        <v>40257</v>
      </c>
      <c r="O6" s="11"/>
      <c r="P6" s="8">
        <v>3</v>
      </c>
      <c r="Q6" s="20">
        <v>38746</v>
      </c>
      <c r="R6" s="80"/>
      <c r="S6" s="78">
        <v>3</v>
      </c>
      <c r="T6" s="20">
        <v>93898</v>
      </c>
      <c r="U6" s="3"/>
      <c r="V6" s="8">
        <v>38</v>
      </c>
      <c r="W6" s="12">
        <v>0.05</v>
      </c>
      <c r="X6" s="204">
        <f t="shared" si="4"/>
        <v>45737</v>
      </c>
      <c r="Y6" s="177">
        <f t="shared" si="0"/>
        <v>48024</v>
      </c>
      <c r="Z6" s="12">
        <v>0.15</v>
      </c>
      <c r="AA6" s="177">
        <f t="shared" si="1"/>
        <v>6861</v>
      </c>
      <c r="AB6" s="3"/>
      <c r="AC6" s="8">
        <v>47</v>
      </c>
      <c r="AD6" s="12">
        <v>0.1</v>
      </c>
      <c r="AE6" s="204">
        <f t="shared" si="5"/>
        <v>59450</v>
      </c>
      <c r="AF6" s="177">
        <f t="shared" si="2"/>
        <v>65395</v>
      </c>
      <c r="AG6" s="12">
        <v>0.15</v>
      </c>
      <c r="AH6" s="177">
        <f t="shared" si="3"/>
        <v>8918</v>
      </c>
      <c r="AI6" s="3"/>
      <c r="AJ6" s="226">
        <v>3</v>
      </c>
      <c r="AK6" s="226">
        <v>316</v>
      </c>
      <c r="AL6" s="8">
        <v>316</v>
      </c>
      <c r="AM6" s="8">
        <f t="shared" si="6"/>
        <v>13229</v>
      </c>
      <c r="AN6" s="3"/>
      <c r="AO6" s="8">
        <v>11</v>
      </c>
      <c r="AP6" s="99">
        <v>21197</v>
      </c>
      <c r="AQ6" s="3"/>
      <c r="AR6" s="27" t="str">
        <f ca="1">IFERROR(MATCH(A6,OFFSET(Grades!$A$6,MATCH(Rates!$C$6,LIST,0),6,1,SUMIF(Grades!$A:$A,Rates!$C$6,Grades!$F:$F)),0),"-")</f>
        <v>-</v>
      </c>
    </row>
    <row r="7" spans="1:50" ht="18.75" customHeight="1" x14ac:dyDescent="0.2">
      <c r="A7" s="8">
        <v>4</v>
      </c>
      <c r="B7" s="22">
        <v>19092</v>
      </c>
      <c r="C7" s="172"/>
      <c r="D7" s="8">
        <v>4</v>
      </c>
      <c r="E7" s="99"/>
      <c r="F7" s="170"/>
      <c r="G7" s="23">
        <v>4</v>
      </c>
      <c r="H7" s="24">
        <v>70974</v>
      </c>
      <c r="I7" s="19"/>
      <c r="J7" s="24">
        <v>4</v>
      </c>
      <c r="K7" s="24">
        <v>75285</v>
      </c>
      <c r="L7" s="11"/>
      <c r="M7" s="8">
        <v>4</v>
      </c>
      <c r="N7" s="24">
        <v>51017</v>
      </c>
      <c r="O7" s="11"/>
      <c r="P7" s="8">
        <v>4</v>
      </c>
      <c r="Q7" s="20">
        <v>40492</v>
      </c>
      <c r="R7" s="80"/>
      <c r="S7" s="78">
        <v>4</v>
      </c>
      <c r="T7" s="20">
        <v>96665</v>
      </c>
      <c r="U7" s="3"/>
      <c r="V7" s="8">
        <v>39</v>
      </c>
      <c r="W7" s="12">
        <v>0.05</v>
      </c>
      <c r="X7" s="204">
        <f t="shared" si="4"/>
        <v>47047</v>
      </c>
      <c r="Y7" s="177">
        <f t="shared" si="0"/>
        <v>49399</v>
      </c>
      <c r="Z7" s="12">
        <v>0.15</v>
      </c>
      <c r="AA7" s="177">
        <f t="shared" si="1"/>
        <v>7057</v>
      </c>
      <c r="AB7" s="3"/>
      <c r="AC7" s="8">
        <v>48</v>
      </c>
      <c r="AD7" s="12">
        <v>0.1</v>
      </c>
      <c r="AE7" s="204">
        <f t="shared" si="5"/>
        <v>61228</v>
      </c>
      <c r="AF7" s="177">
        <f t="shared" si="2"/>
        <v>67351</v>
      </c>
      <c r="AG7" s="12">
        <v>0.15</v>
      </c>
      <c r="AH7" s="177">
        <f t="shared" si="3"/>
        <v>9184</v>
      </c>
      <c r="AI7" s="3"/>
      <c r="AJ7" s="226">
        <v>4</v>
      </c>
      <c r="AK7" s="226">
        <v>317</v>
      </c>
      <c r="AL7" s="8">
        <v>117</v>
      </c>
      <c r="AM7" s="8">
        <f t="shared" si="6"/>
        <v>16063</v>
      </c>
      <c r="AN7" s="3"/>
      <c r="AO7" s="8">
        <v>12</v>
      </c>
      <c r="AP7" s="99">
        <v>21630</v>
      </c>
      <c r="AQ7" s="3"/>
      <c r="AR7" s="27" t="str">
        <f ca="1">IFERROR(MATCH(A7,OFFSET(Grades!$A$6,MATCH(Rates!$C$6,LIST,0),6,1,SUMIF(Grades!$A:$A,Rates!$C$6,Grades!$F:$F)),0),"-")</f>
        <v>-</v>
      </c>
    </row>
    <row r="8" spans="1:50" ht="18.75" customHeight="1" x14ac:dyDescent="0.2">
      <c r="A8" s="8">
        <v>5</v>
      </c>
      <c r="B8" s="22">
        <v>19333</v>
      </c>
      <c r="C8" s="172"/>
      <c r="D8" s="8">
        <v>5</v>
      </c>
      <c r="E8" s="99"/>
      <c r="F8" s="170"/>
      <c r="G8" s="23">
        <v>5</v>
      </c>
      <c r="H8" s="24">
        <v>72390</v>
      </c>
      <c r="I8" s="19"/>
      <c r="J8" s="24">
        <v>5</v>
      </c>
      <c r="K8" s="24">
        <v>77543</v>
      </c>
      <c r="L8" s="11"/>
      <c r="M8" s="8">
        <v>5</v>
      </c>
      <c r="N8" s="24">
        <v>58398</v>
      </c>
      <c r="O8" s="11"/>
      <c r="P8" s="8">
        <v>5</v>
      </c>
      <c r="Q8" s="20">
        <v>42598</v>
      </c>
      <c r="R8" s="80"/>
      <c r="S8" s="78">
        <v>5</v>
      </c>
      <c r="T8" s="20">
        <v>99425</v>
      </c>
      <c r="U8" s="3"/>
      <c r="V8" s="8">
        <v>40</v>
      </c>
      <c r="W8" s="12">
        <v>0.05</v>
      </c>
      <c r="X8" s="204">
        <f t="shared" si="4"/>
        <v>48423</v>
      </c>
      <c r="Y8" s="177">
        <f t="shared" si="0"/>
        <v>50844</v>
      </c>
      <c r="Z8" s="12">
        <v>0.15</v>
      </c>
      <c r="AA8" s="177">
        <f t="shared" si="1"/>
        <v>7263</v>
      </c>
      <c r="AB8" s="3"/>
      <c r="AC8" s="8">
        <v>49</v>
      </c>
      <c r="AD8" s="12">
        <v>0.1</v>
      </c>
      <c r="AE8" s="204">
        <f t="shared" si="5"/>
        <v>63059</v>
      </c>
      <c r="AF8" s="177">
        <f t="shared" si="2"/>
        <v>69365</v>
      </c>
      <c r="AG8" s="12">
        <v>0.15</v>
      </c>
      <c r="AH8" s="177">
        <f t="shared" si="3"/>
        <v>9459</v>
      </c>
      <c r="AI8" s="3"/>
      <c r="AJ8" s="226">
        <v>5</v>
      </c>
      <c r="AK8" s="226">
        <v>317</v>
      </c>
      <c r="AL8" s="8">
        <v>217</v>
      </c>
      <c r="AM8" s="8">
        <f t="shared" si="6"/>
        <v>16063</v>
      </c>
      <c r="AN8" s="3"/>
      <c r="AO8" s="8">
        <v>13</v>
      </c>
      <c r="AP8" s="99">
        <v>22149</v>
      </c>
      <c r="AQ8" s="3"/>
      <c r="AR8" s="27" t="str">
        <f ca="1">IFERROR(MATCH(A8,OFFSET(Grades!$A$6,MATCH(Rates!$C$6,LIST,0),6,1,SUMIF(Grades!$A:$A,Rates!$C$6,Grades!$F:$F)),0),"-")</f>
        <v>-</v>
      </c>
    </row>
    <row r="9" spans="1:50" ht="18.75" customHeight="1" x14ac:dyDescent="0.2">
      <c r="A9" s="8">
        <v>6</v>
      </c>
      <c r="B9" s="22">
        <v>19578</v>
      </c>
      <c r="C9" s="172"/>
      <c r="D9" s="8">
        <v>6</v>
      </c>
      <c r="E9" s="99"/>
      <c r="F9" s="170"/>
      <c r="G9" s="23">
        <v>6</v>
      </c>
      <c r="H9" s="24">
        <v>73835</v>
      </c>
      <c r="I9" s="19"/>
      <c r="J9" s="24">
        <v>6</v>
      </c>
      <c r="K9" s="24">
        <v>79870</v>
      </c>
      <c r="L9" s="11"/>
      <c r="M9" s="19"/>
      <c r="N9" s="19"/>
      <c r="O9" s="11"/>
      <c r="P9" s="8">
        <v>6</v>
      </c>
      <c r="Q9" s="20">
        <v>44705</v>
      </c>
      <c r="R9" s="80"/>
      <c r="S9" s="78">
        <v>6</v>
      </c>
      <c r="T9" s="20">
        <v>105996</v>
      </c>
      <c r="U9" s="3"/>
      <c r="V9" s="8">
        <v>41</v>
      </c>
      <c r="W9" s="12">
        <v>0.05</v>
      </c>
      <c r="X9" s="204">
        <f t="shared" si="4"/>
        <v>49841</v>
      </c>
      <c r="Y9" s="177">
        <f t="shared" si="0"/>
        <v>52333</v>
      </c>
      <c r="Z9" s="12">
        <v>0.15</v>
      </c>
      <c r="AA9" s="177">
        <f t="shared" si="1"/>
        <v>7476</v>
      </c>
      <c r="AB9" s="3"/>
      <c r="AC9" s="8">
        <v>50</v>
      </c>
      <c r="AD9" s="12">
        <v>0.1</v>
      </c>
      <c r="AE9" s="204">
        <f t="shared" si="5"/>
        <v>64946</v>
      </c>
      <c r="AF9" s="177">
        <f t="shared" si="2"/>
        <v>71441</v>
      </c>
      <c r="AG9" s="12">
        <v>0.15</v>
      </c>
      <c r="AH9" s="177">
        <f t="shared" si="3"/>
        <v>9742</v>
      </c>
      <c r="AI9" s="3"/>
      <c r="AJ9" s="226">
        <v>6</v>
      </c>
      <c r="AK9" s="226">
        <v>317</v>
      </c>
      <c r="AL9" s="8">
        <v>317</v>
      </c>
      <c r="AM9" s="8">
        <f t="shared" si="6"/>
        <v>16063</v>
      </c>
      <c r="AN9" s="3"/>
      <c r="AO9" s="8">
        <v>14</v>
      </c>
      <c r="AP9" s="99">
        <v>22662</v>
      </c>
      <c r="AQ9" s="3"/>
      <c r="AR9" s="27" t="str">
        <f ca="1">IFERROR(MATCH(A9,OFFSET(Grades!$A$6,MATCH(Rates!$C$6,LIST,0),6,1,SUMIF(Grades!$A:$A,Rates!$C$6,Grades!$F:$F)),0),"-")</f>
        <v>-</v>
      </c>
    </row>
    <row r="10" spans="1:50" ht="18.75" customHeight="1" x14ac:dyDescent="0.2">
      <c r="A10" s="8">
        <v>7</v>
      </c>
      <c r="B10" s="22">
        <v>19863</v>
      </c>
      <c r="C10" s="172"/>
      <c r="D10" s="8">
        <v>7</v>
      </c>
      <c r="E10" s="99"/>
      <c r="F10" s="170"/>
      <c r="G10" s="23">
        <v>7</v>
      </c>
      <c r="H10" s="24">
        <v>75307</v>
      </c>
      <c r="I10" s="19"/>
      <c r="J10" s="24">
        <v>7</v>
      </c>
      <c r="K10" s="24">
        <v>82266</v>
      </c>
      <c r="L10" s="11"/>
      <c r="M10" s="19"/>
      <c r="N10" s="19"/>
      <c r="O10" s="11"/>
      <c r="P10" s="8">
        <v>7</v>
      </c>
      <c r="Q10" s="20">
        <v>46812</v>
      </c>
      <c r="R10" s="80"/>
      <c r="S10" s="78">
        <v>7</v>
      </c>
      <c r="T10" s="20">
        <v>112569</v>
      </c>
      <c r="U10" s="3"/>
      <c r="V10" s="8">
        <v>42</v>
      </c>
      <c r="W10" s="12">
        <v>0.05</v>
      </c>
      <c r="X10" s="204">
        <f t="shared" si="4"/>
        <v>51306</v>
      </c>
      <c r="Y10" s="177">
        <f t="shared" si="0"/>
        <v>53871</v>
      </c>
      <c r="Z10" s="12">
        <v>0.15</v>
      </c>
      <c r="AA10" s="177">
        <f t="shared" si="1"/>
        <v>7696</v>
      </c>
      <c r="AB10" s="3"/>
      <c r="AC10" s="8">
        <v>51</v>
      </c>
      <c r="AD10" s="12">
        <v>0.15</v>
      </c>
      <c r="AE10" s="204">
        <f t="shared" si="5"/>
        <v>66890</v>
      </c>
      <c r="AF10" s="177">
        <f t="shared" si="2"/>
        <v>76924</v>
      </c>
      <c r="AG10" s="12">
        <v>0.2</v>
      </c>
      <c r="AH10" s="177">
        <f t="shared" si="3"/>
        <v>13378</v>
      </c>
      <c r="AI10" s="3"/>
      <c r="AJ10" s="226">
        <v>7</v>
      </c>
      <c r="AK10" s="226">
        <v>2</v>
      </c>
      <c r="AL10" s="8">
        <v>2</v>
      </c>
      <c r="AM10" s="8">
        <f t="shared" si="6"/>
        <v>18542</v>
      </c>
      <c r="AN10" s="3"/>
      <c r="AO10" s="8">
        <v>15</v>
      </c>
      <c r="AP10" s="99">
        <v>23144</v>
      </c>
      <c r="AQ10" s="3"/>
      <c r="AR10" s="27" t="str">
        <f ca="1">IFERROR(MATCH(A10,OFFSET(Grades!$A$6,MATCH(Rates!$C$6,LIST,0),6,1,SUMIF(Grades!$A:$A,Rates!$C$6,Grades!$F:$F)),0),"-")</f>
        <v>-</v>
      </c>
    </row>
    <row r="11" spans="1:50" ht="18.75" customHeight="1" x14ac:dyDescent="0.2">
      <c r="A11" s="8">
        <v>8</v>
      </c>
      <c r="B11" s="22">
        <v>20134</v>
      </c>
      <c r="C11" s="172"/>
      <c r="D11" s="8">
        <v>8</v>
      </c>
      <c r="E11" s="99"/>
      <c r="F11" s="170"/>
      <c r="G11" s="23">
        <v>8</v>
      </c>
      <c r="H11" s="24">
        <v>76809</v>
      </c>
      <c r="I11" s="19"/>
      <c r="J11" s="24">
        <v>8</v>
      </c>
      <c r="K11" s="24">
        <v>84734</v>
      </c>
      <c r="L11" s="11"/>
      <c r="M11" s="19"/>
      <c r="N11" s="19"/>
      <c r="O11" s="11"/>
      <c r="P11" s="8">
        <v>8</v>
      </c>
      <c r="Q11" s="20">
        <v>48918</v>
      </c>
      <c r="R11" s="80"/>
      <c r="S11" s="78">
        <v>8</v>
      </c>
      <c r="T11" s="20">
        <v>119133</v>
      </c>
      <c r="U11" s="3"/>
      <c r="V11" s="8">
        <v>43</v>
      </c>
      <c r="W11" s="12">
        <v>0.1</v>
      </c>
      <c r="X11" s="204">
        <f t="shared" si="4"/>
        <v>52841</v>
      </c>
      <c r="Y11" s="177">
        <f t="shared" si="0"/>
        <v>58125</v>
      </c>
      <c r="Z11" s="12">
        <v>0.15</v>
      </c>
      <c r="AA11" s="177">
        <f t="shared" si="1"/>
        <v>7926</v>
      </c>
      <c r="AB11" s="3"/>
      <c r="AC11" s="8">
        <v>52</v>
      </c>
      <c r="AD11" s="12">
        <v>0.15</v>
      </c>
      <c r="AE11" s="204">
        <f t="shared" si="5"/>
        <v>68871</v>
      </c>
      <c r="AF11" s="177">
        <f t="shared" si="2"/>
        <v>79202</v>
      </c>
      <c r="AG11" s="12">
        <v>0.2</v>
      </c>
      <c r="AH11" s="177">
        <f t="shared" si="3"/>
        <v>13774</v>
      </c>
      <c r="AI11" s="3"/>
      <c r="AJ11" s="226">
        <v>8</v>
      </c>
      <c r="AK11" s="226">
        <v>3</v>
      </c>
      <c r="AL11" s="8">
        <v>3</v>
      </c>
      <c r="AM11" s="8">
        <f t="shared" si="6"/>
        <v>18898</v>
      </c>
      <c r="AN11" s="3"/>
      <c r="AO11" s="8">
        <v>16</v>
      </c>
      <c r="AP11" s="99">
        <v>23715</v>
      </c>
      <c r="AQ11" s="3"/>
      <c r="AR11" s="27" t="str">
        <f ca="1">IFERROR(MATCH(A11,OFFSET(Grades!$A$6,MATCH(Rates!$C$6,LIST,0),6,1,SUMIF(Grades!$A:$A,Rates!$C$6,Grades!$F:$F)),0),"-")</f>
        <v>-</v>
      </c>
    </row>
    <row r="12" spans="1:50" ht="18.75" customHeight="1" x14ac:dyDescent="0.2">
      <c r="A12" s="8">
        <v>9</v>
      </c>
      <c r="B12" s="22">
        <v>20400</v>
      </c>
      <c r="C12" s="172"/>
      <c r="D12" s="8">
        <v>9</v>
      </c>
      <c r="E12" s="99"/>
      <c r="F12" s="170"/>
      <c r="G12" s="23">
        <v>9</v>
      </c>
      <c r="H12" s="24">
        <v>78342</v>
      </c>
      <c r="I12" s="19"/>
      <c r="J12" s="24">
        <v>9</v>
      </c>
      <c r="K12" s="24">
        <v>87275</v>
      </c>
      <c r="L12" s="11"/>
      <c r="M12" s="19"/>
      <c r="N12" s="19"/>
      <c r="O12" s="11"/>
      <c r="P12" s="8">
        <v>9</v>
      </c>
      <c r="Q12" s="20">
        <v>51025</v>
      </c>
      <c r="R12" s="3"/>
      <c r="S12" s="3"/>
      <c r="T12" s="3"/>
      <c r="U12" s="3"/>
      <c r="V12" s="8">
        <v>44</v>
      </c>
      <c r="W12" s="12">
        <v>0.1</v>
      </c>
      <c r="X12" s="204">
        <f t="shared" si="4"/>
        <v>54421</v>
      </c>
      <c r="Y12" s="177">
        <f t="shared" si="0"/>
        <v>59863</v>
      </c>
      <c r="Z12" s="12">
        <v>0.15</v>
      </c>
      <c r="AA12" s="177">
        <f t="shared" si="1"/>
        <v>8163</v>
      </c>
      <c r="AB12" s="3"/>
      <c r="AC12" s="8">
        <v>53</v>
      </c>
      <c r="AD12" s="12">
        <v>0.15</v>
      </c>
      <c r="AE12" s="204">
        <f t="shared" si="5"/>
        <v>70932</v>
      </c>
      <c r="AF12" s="177">
        <f t="shared" si="2"/>
        <v>81572</v>
      </c>
      <c r="AG12" s="12">
        <v>0.2</v>
      </c>
      <c r="AH12" s="177">
        <f t="shared" si="3"/>
        <v>14186</v>
      </c>
      <c r="AI12" s="3"/>
      <c r="AJ12" s="226">
        <v>9</v>
      </c>
      <c r="AK12" s="226">
        <v>7</v>
      </c>
      <c r="AL12" s="8">
        <v>7</v>
      </c>
      <c r="AM12" s="8">
        <f t="shared" si="6"/>
        <v>19863</v>
      </c>
      <c r="AN12" s="3"/>
      <c r="AO12" s="8">
        <v>17</v>
      </c>
      <c r="AP12" s="99">
        <v>24285</v>
      </c>
      <c r="AQ12" s="3"/>
      <c r="AR12" s="27" t="str">
        <f ca="1">IFERROR(MATCH(A12,OFFSET(Grades!$A$6,MATCH(Rates!$C$6,LIST,0),6,1,SUMIF(Grades!$A:$A,Rates!$C$6,Grades!$F:$F)),0),"-")</f>
        <v>-</v>
      </c>
    </row>
    <row r="13" spans="1:50" ht="18.75" customHeight="1" x14ac:dyDescent="0.2">
      <c r="A13" s="8">
        <v>10</v>
      </c>
      <c r="B13" s="22">
        <v>20761</v>
      </c>
      <c r="C13" s="172"/>
      <c r="D13" s="8">
        <v>10</v>
      </c>
      <c r="E13" s="99"/>
      <c r="F13" s="170"/>
      <c r="G13" s="23">
        <v>10</v>
      </c>
      <c r="H13" s="24">
        <v>79905</v>
      </c>
      <c r="I13" s="19"/>
      <c r="J13" s="24">
        <v>10</v>
      </c>
      <c r="K13" s="24">
        <v>89894</v>
      </c>
      <c r="L13" s="11"/>
      <c r="M13" s="19"/>
      <c r="N13" s="19"/>
      <c r="O13" s="11"/>
      <c r="P13" s="8">
        <v>10</v>
      </c>
      <c r="Q13" s="20">
        <v>56502</v>
      </c>
      <c r="R13" s="3"/>
      <c r="S13" s="3"/>
      <c r="T13" s="3"/>
      <c r="U13" s="3"/>
      <c r="V13" s="8">
        <v>45</v>
      </c>
      <c r="W13" s="12">
        <v>0.1</v>
      </c>
      <c r="X13" s="204">
        <f t="shared" si="4"/>
        <v>56048</v>
      </c>
      <c r="Y13" s="177">
        <f t="shared" si="0"/>
        <v>61653</v>
      </c>
      <c r="Z13" s="12">
        <v>0.15</v>
      </c>
      <c r="AA13" s="177">
        <f t="shared" si="1"/>
        <v>8407</v>
      </c>
      <c r="AB13" s="3"/>
      <c r="AC13" s="8">
        <v>54</v>
      </c>
      <c r="AD13" s="12">
        <v>0.15</v>
      </c>
      <c r="AE13" s="204">
        <f t="shared" si="5"/>
        <v>73058</v>
      </c>
      <c r="AF13" s="177">
        <f t="shared" si="2"/>
        <v>84017</v>
      </c>
      <c r="AG13" s="12">
        <v>0.2</v>
      </c>
      <c r="AH13" s="177">
        <f t="shared" si="3"/>
        <v>14612</v>
      </c>
      <c r="AI13" s="3"/>
      <c r="AJ13" s="226">
        <v>10</v>
      </c>
      <c r="AK13" s="226">
        <v>8</v>
      </c>
      <c r="AL13" s="8">
        <v>8</v>
      </c>
      <c r="AM13" s="8">
        <f t="shared" si="6"/>
        <v>20134</v>
      </c>
      <c r="AN13" s="3"/>
      <c r="AO13" s="8">
        <v>18</v>
      </c>
      <c r="AP13" s="99">
        <v>24948</v>
      </c>
      <c r="AQ13" s="3"/>
      <c r="AR13" s="27" t="str">
        <f ca="1">IFERROR(MATCH(A13,OFFSET(Grades!$A$6,MATCH(Rates!$C$6,LIST,0),6,1,SUMIF(Grades!$A:$A,Rates!$C$6,Grades!$F:$F)),0),"-")</f>
        <v>-</v>
      </c>
    </row>
    <row r="14" spans="1:50" ht="18.75" customHeight="1" x14ac:dyDescent="0.2">
      <c r="A14" s="8">
        <v>11</v>
      </c>
      <c r="B14" s="22">
        <v>21197</v>
      </c>
      <c r="C14" s="172"/>
      <c r="D14" s="8">
        <v>11</v>
      </c>
      <c r="E14" s="99"/>
      <c r="F14" s="170"/>
      <c r="G14" s="23">
        <v>11</v>
      </c>
      <c r="H14" s="24">
        <v>81497</v>
      </c>
      <c r="I14" s="19"/>
      <c r="J14" s="24">
        <v>11</v>
      </c>
      <c r="K14" s="24">
        <v>92591</v>
      </c>
      <c r="L14" s="11"/>
      <c r="M14" s="19"/>
      <c r="N14" s="19"/>
      <c r="O14" s="11"/>
      <c r="P14" s="8">
        <v>11</v>
      </c>
      <c r="Q14" s="20">
        <v>61042</v>
      </c>
      <c r="R14" s="3"/>
      <c r="S14" s="3"/>
      <c r="T14" s="3"/>
      <c r="U14" s="3"/>
      <c r="V14" s="8">
        <v>46</v>
      </c>
      <c r="W14" s="12">
        <v>0.1</v>
      </c>
      <c r="X14" s="204">
        <f t="shared" si="4"/>
        <v>57723</v>
      </c>
      <c r="Y14" s="177">
        <f t="shared" si="0"/>
        <v>63495</v>
      </c>
      <c r="Z14" s="12">
        <v>0.15</v>
      </c>
      <c r="AA14" s="177">
        <f t="shared" si="1"/>
        <v>8658</v>
      </c>
      <c r="AB14" s="3"/>
      <c r="AC14" s="8">
        <v>55</v>
      </c>
      <c r="AD14" s="12">
        <v>0.15</v>
      </c>
      <c r="AE14" s="204">
        <f t="shared" si="5"/>
        <v>75243</v>
      </c>
      <c r="AF14" s="177">
        <f t="shared" si="2"/>
        <v>86529</v>
      </c>
      <c r="AG14" s="12">
        <v>0.2</v>
      </c>
      <c r="AH14" s="177">
        <f t="shared" si="3"/>
        <v>15049</v>
      </c>
      <c r="AI14" s="3"/>
      <c r="AJ14" s="226">
        <v>11</v>
      </c>
      <c r="AK14" s="226">
        <v>9</v>
      </c>
      <c r="AL14" s="8">
        <v>9</v>
      </c>
      <c r="AM14" s="8">
        <f t="shared" si="6"/>
        <v>20400</v>
      </c>
      <c r="AN14" s="3"/>
      <c r="AO14" s="8">
        <v>19</v>
      </c>
      <c r="AP14" s="99">
        <v>25642</v>
      </c>
      <c r="AQ14" s="3"/>
      <c r="AR14" s="27" t="str">
        <f ca="1">IFERROR(MATCH(A14,OFFSET(Grades!$A$6,MATCH(Rates!$C$6,LIST,0),6,1,SUMIF(Grades!$A:$A,Rates!$C$6,Grades!$F:$F)),0),"-")</f>
        <v>-</v>
      </c>
    </row>
    <row r="15" spans="1:50" ht="18.75" customHeight="1" x14ac:dyDescent="0.2">
      <c r="A15" s="8">
        <v>12</v>
      </c>
      <c r="B15" s="22">
        <v>21630</v>
      </c>
      <c r="C15" s="172"/>
      <c r="D15" s="8">
        <v>12</v>
      </c>
      <c r="E15" s="99"/>
      <c r="F15" s="170"/>
      <c r="G15" s="23">
        <v>12</v>
      </c>
      <c r="H15" s="24">
        <v>83126</v>
      </c>
      <c r="I15" s="19"/>
      <c r="J15" s="24">
        <v>12</v>
      </c>
      <c r="K15" s="24">
        <v>95368</v>
      </c>
      <c r="L15" s="11"/>
      <c r="M15" s="19"/>
      <c r="N15" s="19"/>
      <c r="O15" s="11"/>
      <c r="P15" s="82">
        <v>19</v>
      </c>
      <c r="Q15" s="83">
        <v>73367</v>
      </c>
      <c r="R15" s="5"/>
      <c r="S15" s="3"/>
      <c r="T15" s="3"/>
      <c r="U15" s="3"/>
      <c r="V15" s="8">
        <v>47</v>
      </c>
      <c r="W15" s="12">
        <v>0.1</v>
      </c>
      <c r="X15" s="204">
        <f t="shared" si="4"/>
        <v>59450</v>
      </c>
      <c r="Y15" s="177">
        <f t="shared" si="0"/>
        <v>65395</v>
      </c>
      <c r="Z15" s="12">
        <v>0.15</v>
      </c>
      <c r="AA15" s="177">
        <f t="shared" si="1"/>
        <v>8918</v>
      </c>
      <c r="AB15" s="3"/>
      <c r="AC15" s="8">
        <v>56</v>
      </c>
      <c r="AD15" s="12">
        <v>0.15</v>
      </c>
      <c r="AE15" s="204">
        <f t="shared" si="5"/>
        <v>77495</v>
      </c>
      <c r="AF15" s="177">
        <f t="shared" si="2"/>
        <v>89119</v>
      </c>
      <c r="AG15" s="12">
        <v>0.2</v>
      </c>
      <c r="AH15" s="177">
        <f t="shared" si="3"/>
        <v>15499</v>
      </c>
      <c r="AI15" s="3"/>
      <c r="AJ15" s="3"/>
      <c r="AK15" s="3"/>
      <c r="AL15" s="3"/>
      <c r="AM15" s="3"/>
      <c r="AN15" s="3"/>
      <c r="AO15" s="8">
        <v>20</v>
      </c>
      <c r="AP15" s="99">
        <v>26396</v>
      </c>
      <c r="AQ15" s="3"/>
      <c r="AR15" s="27" t="str">
        <f ca="1">IFERROR(MATCH(A15,OFFSET(Grades!$A$6,MATCH(Rates!$C$6,LIST,0),6,1,SUMIF(Grades!$A:$A,Rates!$C$6,Grades!$F:$F)),0),"-")</f>
        <v>-</v>
      </c>
    </row>
    <row r="16" spans="1:50" ht="18.75" customHeight="1" x14ac:dyDescent="0.2">
      <c r="A16" s="8">
        <v>13</v>
      </c>
      <c r="B16" s="22">
        <v>22149</v>
      </c>
      <c r="C16" s="172"/>
      <c r="D16" s="8">
        <v>13</v>
      </c>
      <c r="E16" s="99"/>
      <c r="F16" s="170"/>
      <c r="G16" s="23">
        <v>13</v>
      </c>
      <c r="H16" s="24">
        <v>84783</v>
      </c>
      <c r="I16" s="19"/>
      <c r="J16" s="24">
        <v>13</v>
      </c>
      <c r="K16" s="24">
        <v>98230</v>
      </c>
      <c r="L16" s="11"/>
      <c r="M16" s="19"/>
      <c r="N16" s="19"/>
      <c r="O16" s="11"/>
      <c r="P16" s="82">
        <v>20</v>
      </c>
      <c r="Q16" s="83">
        <v>78617</v>
      </c>
      <c r="R16" s="5"/>
      <c r="S16" s="3"/>
      <c r="T16" s="3"/>
      <c r="U16" s="3"/>
      <c r="V16" s="8">
        <v>48</v>
      </c>
      <c r="W16" s="12">
        <v>0.1</v>
      </c>
      <c r="X16" s="204">
        <f t="shared" si="4"/>
        <v>61228</v>
      </c>
      <c r="Y16" s="177">
        <f t="shared" si="0"/>
        <v>67351</v>
      </c>
      <c r="Z16" s="12">
        <v>0.15</v>
      </c>
      <c r="AA16" s="177">
        <f t="shared" si="1"/>
        <v>9184</v>
      </c>
      <c r="AB16" s="3"/>
      <c r="AC16" s="8">
        <v>57</v>
      </c>
      <c r="AD16" s="12">
        <v>0.15</v>
      </c>
      <c r="AE16" s="204">
        <f t="shared" si="5"/>
        <v>79814</v>
      </c>
      <c r="AF16" s="177">
        <f t="shared" si="2"/>
        <v>91786</v>
      </c>
      <c r="AG16" s="12">
        <v>0.2</v>
      </c>
      <c r="AH16" s="177">
        <f t="shared" si="3"/>
        <v>15963</v>
      </c>
      <c r="AI16" s="3"/>
      <c r="AJ16" s="3"/>
      <c r="AK16" s="3"/>
      <c r="AL16" s="3"/>
      <c r="AM16" s="3"/>
      <c r="AN16" s="3"/>
      <c r="AO16" s="8">
        <v>21</v>
      </c>
      <c r="AP16" s="99">
        <v>27131</v>
      </c>
      <c r="AQ16" s="3"/>
      <c r="AR16" s="27" t="str">
        <f ca="1">IFERROR(MATCH(A16,OFFSET(Grades!$A$6,MATCH(Rates!$C$6,LIST,0),6,1,SUMIF(Grades!$A:$A,Rates!$C$6,Grades!$F:$F)),0),"-")</f>
        <v>-</v>
      </c>
    </row>
    <row r="17" spans="1:44" ht="18.75" customHeight="1" x14ac:dyDescent="0.2">
      <c r="A17" s="8">
        <v>14</v>
      </c>
      <c r="B17" s="22">
        <v>22662</v>
      </c>
      <c r="C17" s="172"/>
      <c r="D17" s="8">
        <v>14</v>
      </c>
      <c r="E17" s="99"/>
      <c r="F17" s="170"/>
      <c r="G17" s="23">
        <v>14</v>
      </c>
      <c r="H17" s="24">
        <v>86477</v>
      </c>
      <c r="I17" s="19"/>
      <c r="J17" s="24">
        <v>14</v>
      </c>
      <c r="K17" s="24">
        <v>101177</v>
      </c>
      <c r="L17" s="11"/>
      <c r="M17" s="19"/>
      <c r="N17" s="19"/>
      <c r="O17" s="11"/>
      <c r="P17" s="82">
        <v>21</v>
      </c>
      <c r="Q17" s="83">
        <v>83868</v>
      </c>
      <c r="R17" s="5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8">
        <v>22</v>
      </c>
      <c r="AP17" s="99">
        <v>27929</v>
      </c>
      <c r="AQ17" s="3"/>
      <c r="AR17" s="27" t="str">
        <f ca="1">IFERROR(MATCH(A17,OFFSET(Grades!$A$6,MATCH(Rates!$C$6,LIST,0),6,1,SUMIF(Grades!$A:$A,Rates!$C$6,Grades!$F:$F)),0),"-")</f>
        <v>-</v>
      </c>
    </row>
    <row r="18" spans="1:44" ht="18.75" customHeight="1" x14ac:dyDescent="0.2">
      <c r="A18" s="8">
        <v>15</v>
      </c>
      <c r="B18" s="22">
        <v>23144</v>
      </c>
      <c r="C18" s="172"/>
      <c r="D18" s="8">
        <v>15</v>
      </c>
      <c r="E18" s="99"/>
      <c r="F18" s="170"/>
      <c r="G18" s="23">
        <v>15</v>
      </c>
      <c r="H18" s="24">
        <v>88203</v>
      </c>
      <c r="I18" s="19"/>
      <c r="J18" s="24">
        <v>15</v>
      </c>
      <c r="K18" s="24">
        <v>104212</v>
      </c>
      <c r="L18" s="11"/>
      <c r="M18" s="19"/>
      <c r="N18" s="19"/>
      <c r="O18" s="11"/>
      <c r="P18" s="82">
        <v>22</v>
      </c>
      <c r="Q18" s="83">
        <v>89117</v>
      </c>
      <c r="R18" s="5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8">
        <v>23</v>
      </c>
      <c r="AP18" s="99">
        <v>28762</v>
      </c>
      <c r="AQ18" s="3"/>
      <c r="AR18" s="27" t="str">
        <f ca="1">IFERROR(MATCH(A18,OFFSET(Grades!$A$6,MATCH(Rates!$C$6,LIST,0),6,1,SUMIF(Grades!$A:$A,Rates!$C$6,Grades!$F:$F)),0),"-")</f>
        <v>-</v>
      </c>
    </row>
    <row r="19" spans="1:44" ht="18.75" customHeight="1" x14ac:dyDescent="0.2">
      <c r="A19" s="8">
        <v>16</v>
      </c>
      <c r="B19" s="22">
        <v>23715</v>
      </c>
      <c r="C19" s="172"/>
      <c r="D19" s="8">
        <v>16</v>
      </c>
      <c r="E19" s="99"/>
      <c r="F19" s="170"/>
      <c r="G19" s="23">
        <v>16</v>
      </c>
      <c r="H19" s="24">
        <v>89963</v>
      </c>
      <c r="I19" s="19"/>
      <c r="J19" s="24">
        <v>16</v>
      </c>
      <c r="K19" s="24">
        <v>107338</v>
      </c>
      <c r="L19" s="11"/>
      <c r="M19" s="19"/>
      <c r="N19" s="19"/>
      <c r="O19" s="11"/>
      <c r="P19" s="82">
        <v>23</v>
      </c>
      <c r="Q19" s="83">
        <v>95104</v>
      </c>
      <c r="R19" s="5"/>
      <c r="S19" s="3"/>
      <c r="T19" s="3"/>
      <c r="U19" s="3"/>
      <c r="V19" s="3"/>
      <c r="W19" s="3"/>
      <c r="X19" s="1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8">
        <v>24</v>
      </c>
      <c r="AP19" s="99">
        <v>29619</v>
      </c>
      <c r="AQ19" s="3"/>
      <c r="AR19" s="27" t="str">
        <f ca="1">IFERROR(MATCH(A19,OFFSET(Grades!$A$6,MATCH(Rates!$C$6,LIST,0),6,1,SUMIF(Grades!$A:$A,Rates!$C$6,Grades!$F:$F)),0),"-")</f>
        <v>-</v>
      </c>
    </row>
    <row r="20" spans="1:44" ht="18.75" customHeight="1" x14ac:dyDescent="0.2">
      <c r="A20" s="8">
        <v>17</v>
      </c>
      <c r="B20" s="22">
        <v>24285</v>
      </c>
      <c r="C20" s="172"/>
      <c r="D20" s="8">
        <v>17</v>
      </c>
      <c r="E20" s="99"/>
      <c r="F20" s="170"/>
      <c r="G20" s="23">
        <v>17</v>
      </c>
      <c r="H20" s="24">
        <v>91759</v>
      </c>
      <c r="I20" s="19"/>
      <c r="J20" s="24">
        <v>17</v>
      </c>
      <c r="K20" s="24">
        <v>110559</v>
      </c>
      <c r="L20" s="11"/>
      <c r="M20" s="19"/>
      <c r="N20" s="19"/>
      <c r="O20" s="1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8">
        <v>25</v>
      </c>
      <c r="AP20" s="99">
        <v>30502</v>
      </c>
      <c r="AQ20" s="3"/>
      <c r="AR20" s="27" t="str">
        <f ca="1">IFERROR(MATCH(A20,OFFSET(Grades!$A$6,MATCH(Rates!$C$6,LIST,0),6,1,SUMIF(Grades!$A:$A,Rates!$C$6,Grades!$F:$F)),0),"-")</f>
        <v>-</v>
      </c>
    </row>
    <row r="21" spans="1:44" ht="18.75" customHeight="1" x14ac:dyDescent="0.2">
      <c r="A21" s="8">
        <v>18</v>
      </c>
      <c r="B21" s="22">
        <v>24948</v>
      </c>
      <c r="C21" s="172"/>
      <c r="D21" s="8">
        <v>18</v>
      </c>
      <c r="E21" s="99"/>
      <c r="F21" s="170"/>
      <c r="G21" s="23">
        <v>18</v>
      </c>
      <c r="H21" s="24">
        <v>93589</v>
      </c>
      <c r="I21" s="19"/>
      <c r="J21" s="24">
        <v>18</v>
      </c>
      <c r="K21" s="24">
        <v>113876</v>
      </c>
      <c r="L21" s="11"/>
      <c r="M21" s="19"/>
      <c r="N21" s="19"/>
      <c r="O21" s="11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8">
        <v>26</v>
      </c>
      <c r="AP21" s="99">
        <v>31411</v>
      </c>
      <c r="AQ21" s="3"/>
      <c r="AR21" s="27" t="str">
        <f ca="1">IFERROR(MATCH(A21,OFFSET(Grades!$A$6,MATCH(Rates!$C$6,LIST,0),6,1,SUMIF(Grades!$A:$A,Rates!$C$6,Grades!$F:$F)),0),"-")</f>
        <v>-</v>
      </c>
    </row>
    <row r="22" spans="1:44" ht="18.75" customHeight="1" x14ac:dyDescent="0.2">
      <c r="A22" s="8">
        <v>19</v>
      </c>
      <c r="B22" s="22">
        <v>25642</v>
      </c>
      <c r="C22" s="172"/>
      <c r="D22" s="8">
        <v>19</v>
      </c>
      <c r="E22" s="99"/>
      <c r="F22" s="170"/>
      <c r="G22" s="23">
        <v>19</v>
      </c>
      <c r="H22" s="24">
        <v>95460</v>
      </c>
      <c r="I22" s="19"/>
      <c r="J22" s="24">
        <v>19</v>
      </c>
      <c r="K22" s="24">
        <v>117291</v>
      </c>
      <c r="L22" s="11"/>
      <c r="M22" s="19"/>
      <c r="N22" s="19"/>
      <c r="O22" s="1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8">
        <v>27</v>
      </c>
      <c r="AP22" s="22">
        <v>32348</v>
      </c>
      <c r="AQ22" s="3"/>
      <c r="AR22" s="27" t="str">
        <f ca="1">IFERROR(MATCH(A22,OFFSET(Grades!$A$6,MATCH(Rates!$C$6,LIST,0),6,1,SUMIF(Grades!$A:$A,Rates!$C$6,Grades!$F:$F)),0),"-")</f>
        <v>-</v>
      </c>
    </row>
    <row r="23" spans="1:44" ht="18.75" customHeight="1" x14ac:dyDescent="0.2">
      <c r="A23" s="8">
        <v>20</v>
      </c>
      <c r="B23" s="22">
        <v>26396</v>
      </c>
      <c r="C23" s="172"/>
      <c r="D23" s="8">
        <v>20</v>
      </c>
      <c r="E23" s="99"/>
      <c r="F23" s="170"/>
      <c r="G23" s="23">
        <v>20</v>
      </c>
      <c r="H23" s="24">
        <v>97364</v>
      </c>
      <c r="I23" s="19"/>
      <c r="J23" s="24">
        <v>20</v>
      </c>
      <c r="K23" s="24">
        <v>120810</v>
      </c>
      <c r="L23" s="11"/>
      <c r="M23" s="19"/>
      <c r="N23" s="19"/>
      <c r="O23" s="1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8">
        <v>28</v>
      </c>
      <c r="AP23" s="22">
        <v>33314</v>
      </c>
      <c r="AQ23" s="3"/>
      <c r="AR23" s="27" t="str">
        <f ca="1">IFERROR(MATCH(A23,OFFSET(Grades!$A$6,MATCH(Rates!$C$6,LIST,0),6,1,SUMIF(Grades!$A:$A,Rates!$C$6,Grades!$F:$F)),0),"-")</f>
        <v>-</v>
      </c>
    </row>
    <row r="24" spans="1:44" ht="18.75" customHeight="1" x14ac:dyDescent="0.2">
      <c r="A24" s="8">
        <v>21</v>
      </c>
      <c r="B24" s="22">
        <v>27131</v>
      </c>
      <c r="C24" s="172"/>
      <c r="D24" s="8">
        <v>21</v>
      </c>
      <c r="E24" s="99"/>
      <c r="F24" s="170"/>
      <c r="G24" s="23">
        <v>21</v>
      </c>
      <c r="H24" s="24">
        <v>99307</v>
      </c>
      <c r="I24" s="19"/>
      <c r="J24" s="24">
        <v>21</v>
      </c>
      <c r="K24" s="24"/>
      <c r="L24" s="11"/>
      <c r="M24" s="19"/>
      <c r="N24" s="19"/>
      <c r="O24" s="1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8">
        <v>29</v>
      </c>
      <c r="AP24" s="22">
        <v>34308</v>
      </c>
      <c r="AQ24" s="3"/>
      <c r="AR24" s="27" t="str">
        <f ca="1">IFERROR(MATCH(A24,OFFSET(Grades!$A$6,MATCH(Rates!$C$6,LIST,0),6,1,SUMIF(Grades!$A:$A,Rates!$C$6,Grades!$F:$F)),0),"-")</f>
        <v>-</v>
      </c>
    </row>
    <row r="25" spans="1:44" ht="18.75" customHeight="1" x14ac:dyDescent="0.2">
      <c r="A25" s="8">
        <v>22</v>
      </c>
      <c r="B25" s="200">
        <v>27929</v>
      </c>
      <c r="C25" s="172"/>
      <c r="D25" s="8">
        <v>22</v>
      </c>
      <c r="E25" s="99"/>
      <c r="F25" s="170"/>
      <c r="G25" s="23">
        <v>22</v>
      </c>
      <c r="H25" s="24">
        <v>101290</v>
      </c>
      <c r="I25" s="19"/>
      <c r="J25" s="24">
        <v>22</v>
      </c>
      <c r="K25" s="24" t="s">
        <v>185</v>
      </c>
      <c r="L25" s="11"/>
      <c r="M25" s="19"/>
      <c r="N25" s="19"/>
      <c r="O25" s="1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8">
        <v>30</v>
      </c>
      <c r="AP25" s="22">
        <v>35333</v>
      </c>
      <c r="AQ25" s="3"/>
      <c r="AR25" s="27" t="str">
        <f ca="1">IFERROR(MATCH(A25,OFFSET(Grades!$A$6,MATCH(Rates!$C$6,LIST,0),6,1,SUMIF(Grades!$A:$A,Rates!$C$6,Grades!$F:$F)),0),"-")</f>
        <v>-</v>
      </c>
    </row>
    <row r="26" spans="1:44" ht="18.75" customHeight="1" x14ac:dyDescent="0.2">
      <c r="A26" s="8">
        <v>23</v>
      </c>
      <c r="B26" s="201">
        <v>28762</v>
      </c>
      <c r="C26" s="172"/>
      <c r="D26" s="8">
        <v>23</v>
      </c>
      <c r="E26" s="227">
        <v>29762</v>
      </c>
      <c r="F26" s="171"/>
      <c r="G26" s="23">
        <v>23</v>
      </c>
      <c r="H26" s="24">
        <v>103312</v>
      </c>
      <c r="I26" s="19"/>
      <c r="J26" s="24">
        <v>23</v>
      </c>
      <c r="K26" s="24" t="s">
        <v>185</v>
      </c>
      <c r="L26" s="11"/>
      <c r="M26" s="19"/>
      <c r="N26" s="19"/>
      <c r="O26" s="1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8">
        <v>31</v>
      </c>
      <c r="AP26" s="22">
        <v>36386</v>
      </c>
      <c r="AQ26" s="3"/>
      <c r="AR26" s="27" t="str">
        <f ca="1">IFERROR(MATCH(A26,OFFSET(Grades!$A$6,MATCH(Rates!$C$6,LIST,0),6,1,SUMIF(Grades!$A:$A,Rates!$C$6,Grades!$F:$F)),0),"-")</f>
        <v>-</v>
      </c>
    </row>
    <row r="27" spans="1:44" ht="18.75" customHeight="1" x14ac:dyDescent="0.2">
      <c r="A27" s="8">
        <v>24</v>
      </c>
      <c r="B27" s="201">
        <v>29619</v>
      </c>
      <c r="C27" s="172"/>
      <c r="D27" s="8">
        <v>24</v>
      </c>
      <c r="E27" s="227">
        <v>30619</v>
      </c>
      <c r="F27" s="171"/>
      <c r="G27" s="23">
        <v>24</v>
      </c>
      <c r="H27" s="24">
        <v>105374</v>
      </c>
      <c r="I27" s="19"/>
      <c r="J27" s="24">
        <v>24</v>
      </c>
      <c r="K27" s="24" t="s">
        <v>185</v>
      </c>
      <c r="L27" s="11"/>
      <c r="M27" s="19"/>
      <c r="N27" s="19"/>
      <c r="O27" s="11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8">
        <v>32</v>
      </c>
      <c r="AP27" s="22">
        <v>37474</v>
      </c>
      <c r="AQ27" s="3"/>
      <c r="AR27" s="27" t="str">
        <f ca="1">IFERROR(MATCH(A27,OFFSET(Grades!$A$6,MATCH(Rates!$C$6,LIST,0),6,1,SUMIF(Grades!$A:$A,Rates!$C$6,Grades!$F:$F)),0),"-")</f>
        <v>-</v>
      </c>
    </row>
    <row r="28" spans="1:44" ht="18.75" customHeight="1" x14ac:dyDescent="0.2">
      <c r="A28" s="8">
        <v>25</v>
      </c>
      <c r="B28" s="201">
        <v>30502</v>
      </c>
      <c r="C28" s="172"/>
      <c r="D28" s="8">
        <v>25</v>
      </c>
      <c r="E28" s="227">
        <v>31502</v>
      </c>
      <c r="F28" s="171"/>
      <c r="G28" s="23">
        <v>25</v>
      </c>
      <c r="H28" s="24">
        <v>107477</v>
      </c>
      <c r="I28" s="19"/>
      <c r="J28" s="24">
        <v>25</v>
      </c>
      <c r="K28" s="24" t="s">
        <v>185</v>
      </c>
      <c r="L28" s="11"/>
      <c r="M28" s="19"/>
      <c r="N28" s="19"/>
      <c r="O28" s="1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7" t="str">
        <f ca="1">IFERROR(MATCH(A28,OFFSET(Grades!$A$6,MATCH(Rates!$C$6,LIST,0),6,1,SUMIF(Grades!$A:$A,Rates!$C$6,Grades!$F:$F)),0),"-")</f>
        <v>-</v>
      </c>
    </row>
    <row r="29" spans="1:44" ht="18.75" customHeight="1" x14ac:dyDescent="0.2">
      <c r="A29" s="8">
        <v>26</v>
      </c>
      <c r="B29" s="248">
        <v>31411</v>
      </c>
      <c r="C29" s="172"/>
      <c r="D29" s="8">
        <v>26</v>
      </c>
      <c r="E29" s="227">
        <v>32411</v>
      </c>
      <c r="F29" s="171"/>
      <c r="G29" s="23">
        <v>26</v>
      </c>
      <c r="H29" s="24">
        <v>109621</v>
      </c>
      <c r="I29" s="19"/>
      <c r="J29" s="24">
        <v>26</v>
      </c>
      <c r="K29" s="24" t="s">
        <v>185</v>
      </c>
      <c r="L29" s="11"/>
      <c r="M29" s="19"/>
      <c r="N29" s="19"/>
      <c r="O29" s="1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7" t="str">
        <f ca="1">IFERROR(MATCH(A29,OFFSET(Grades!$A$6,MATCH(Rates!$C$6,LIST,0),6,1,SUMIF(Grades!$A:$A,Rates!$C$6,Grades!$F:$F)),0),"-")</f>
        <v>-</v>
      </c>
    </row>
    <row r="30" spans="1:44" ht="18.75" customHeight="1" x14ac:dyDescent="0.2">
      <c r="A30" s="8">
        <v>27</v>
      </c>
      <c r="B30" s="22">
        <v>32348</v>
      </c>
      <c r="C30" s="172"/>
      <c r="D30" s="8">
        <v>27</v>
      </c>
      <c r="E30" s="228">
        <v>33348</v>
      </c>
      <c r="F30" s="170"/>
      <c r="G30" s="3"/>
      <c r="H30" s="3"/>
      <c r="I30" s="3"/>
      <c r="J30" s="24">
        <v>27</v>
      </c>
      <c r="K30" s="24" t="s">
        <v>185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7" t="str">
        <f ca="1">IFERROR(MATCH(A30,OFFSET(Grades!$A$6,MATCH(Rates!$C$6,LIST,0),6,1,SUMIF(Grades!$A:$A,Rates!$C$6,Grades!$F:$F)),0),"-")</f>
        <v>-</v>
      </c>
    </row>
    <row r="31" spans="1:44" ht="18.75" customHeight="1" x14ac:dyDescent="0.2">
      <c r="A31" s="8">
        <v>28</v>
      </c>
      <c r="B31" s="22">
        <v>33314</v>
      </c>
      <c r="C31" s="172"/>
      <c r="D31" s="8">
        <v>28</v>
      </c>
      <c r="E31" s="228">
        <v>34314</v>
      </c>
      <c r="F31" s="170"/>
      <c r="G31" s="3"/>
      <c r="H31" s="3"/>
      <c r="I31" s="3"/>
      <c r="J31" s="24">
        <v>28</v>
      </c>
      <c r="K31" s="24" t="s">
        <v>185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7" t="str">
        <f ca="1">IFERROR(MATCH(A31,OFFSET(Grades!$A$6,MATCH(Rates!$C$6,LIST,0),6,1,SUMIF(Grades!$A:$A,Rates!$C$6,Grades!$F:$F)),0),"-")</f>
        <v>-</v>
      </c>
    </row>
    <row r="32" spans="1:44" ht="18.75" customHeight="1" x14ac:dyDescent="0.2">
      <c r="A32" s="8">
        <v>29</v>
      </c>
      <c r="B32" s="22">
        <v>34308</v>
      </c>
      <c r="C32" s="172"/>
      <c r="D32" s="8">
        <v>29</v>
      </c>
      <c r="E32" s="228">
        <v>35308</v>
      </c>
      <c r="F32" s="170"/>
      <c r="G32" s="3"/>
      <c r="H32" s="3"/>
      <c r="I32" s="3"/>
      <c r="J32" s="24">
        <v>29</v>
      </c>
      <c r="K32" s="24" t="s">
        <v>185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7" t="str">
        <f ca="1">IFERROR(MATCH(A32,OFFSET(Grades!$A$6,MATCH(Rates!$C$6,LIST,0),6,1,SUMIF(Grades!$A:$A,Rates!$C$6,Grades!$F:$F)),0),"-")</f>
        <v>-</v>
      </c>
    </row>
    <row r="33" spans="1:44" ht="18.75" customHeight="1" x14ac:dyDescent="0.2">
      <c r="A33" s="8">
        <v>30</v>
      </c>
      <c r="B33" s="22">
        <v>35333</v>
      </c>
      <c r="C33" s="172"/>
      <c r="D33" s="8">
        <v>30</v>
      </c>
      <c r="E33" s="228">
        <v>36333</v>
      </c>
      <c r="F33" s="170"/>
      <c r="G33" s="3"/>
      <c r="H33" s="3"/>
      <c r="I33" s="3"/>
      <c r="J33" s="24">
        <v>30</v>
      </c>
      <c r="K33" s="24" t="s">
        <v>185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7" t="str">
        <f ca="1">IFERROR(MATCH(A33,OFFSET(Grades!$A$6,MATCH(Rates!$C$6,LIST,0),6,1,SUMIF(Grades!$A:$A,Rates!$C$6,Grades!$F:$F)),0),"-")</f>
        <v>-</v>
      </c>
    </row>
    <row r="34" spans="1:44" ht="18.75" customHeight="1" x14ac:dyDescent="0.2">
      <c r="A34" s="8">
        <v>31</v>
      </c>
      <c r="B34" s="22"/>
      <c r="C34" s="172"/>
      <c r="D34" s="8">
        <v>31</v>
      </c>
      <c r="E34" s="228">
        <v>37386</v>
      </c>
      <c r="F34" s="170"/>
      <c r="G34" s="3"/>
      <c r="H34" s="3"/>
      <c r="I34" s="3"/>
      <c r="J34" s="24">
        <v>31</v>
      </c>
      <c r="K34" s="24" t="s">
        <v>185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7" t="str">
        <f ca="1">IFERROR(MATCH(A34,OFFSET(Grades!$A$6,MATCH(Rates!$C$6,LIST,0),6,1,SUMIF(Grades!$A:$A,Rates!$C$6,Grades!$F:$F)),0),"-")</f>
        <v>-</v>
      </c>
    </row>
    <row r="35" spans="1:44" ht="18.75" customHeight="1" x14ac:dyDescent="0.2">
      <c r="A35" s="8">
        <v>32</v>
      </c>
      <c r="B35" s="22"/>
      <c r="C35" s="172"/>
      <c r="D35" s="8">
        <v>32</v>
      </c>
      <c r="E35" s="228">
        <v>38474</v>
      </c>
      <c r="F35" s="170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7" t="str">
        <f ca="1">IFERROR(MATCH(A35,OFFSET(Grades!$A$6,MATCH(Rates!$C$6,LIST,0),6,1,SUMIF(Grades!$A:$A,Rates!$C$6,Grades!$F:$F)),0),"-")</f>
        <v>-</v>
      </c>
    </row>
    <row r="36" spans="1:44" ht="18.75" customHeight="1" x14ac:dyDescent="0.2">
      <c r="A36" s="8">
        <v>33</v>
      </c>
      <c r="B36" s="22"/>
      <c r="C36" s="172"/>
      <c r="D36" s="8">
        <v>33</v>
      </c>
      <c r="E36" s="228">
        <v>39592</v>
      </c>
      <c r="F36" s="17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7" t="str">
        <f ca="1">IFERROR(MATCH(A36,OFFSET(Grades!$A$6,MATCH(Rates!$C$6,LIST,0),6,1,SUMIF(Grades!$A:$A,Rates!$C$6,Grades!$F:$F)),0),"-")</f>
        <v>-</v>
      </c>
    </row>
    <row r="37" spans="1:44" ht="18.75" customHeight="1" x14ac:dyDescent="0.2">
      <c r="A37" s="8">
        <v>34</v>
      </c>
      <c r="B37" s="22"/>
      <c r="C37" s="172"/>
      <c r="D37" s="8">
        <v>34</v>
      </c>
      <c r="E37" s="228">
        <v>40745</v>
      </c>
      <c r="F37" s="17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27" t="str">
        <f ca="1">IFERROR(MATCH(A37,OFFSET(Grades!$A$6,MATCH(Rates!$C$6,LIST,0),6,1,SUMIF(Grades!$A:$A,Rates!$C$6,Grades!$F:$F)),0),"-")</f>
        <v>-</v>
      </c>
    </row>
    <row r="38" spans="1:44" ht="18.75" customHeight="1" x14ac:dyDescent="0.2">
      <c r="A38" s="8">
        <v>35</v>
      </c>
      <c r="B38" s="22"/>
      <c r="C38" s="172"/>
      <c r="D38" s="8">
        <v>35</v>
      </c>
      <c r="E38" s="228">
        <v>41931</v>
      </c>
      <c r="F38" s="17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27" t="str">
        <f ca="1">IFERROR(MATCH(A38,OFFSET(Grades!$A$6,MATCH(Rates!$C$6,LIST,0),6,1,SUMIF(Grades!$A:$A,Rates!$C$6,Grades!$F:$F)),0),"-")</f>
        <v>-</v>
      </c>
    </row>
    <row r="39" spans="1:44" ht="18.75" customHeight="1" x14ac:dyDescent="0.2">
      <c r="A39" s="8">
        <v>36</v>
      </c>
      <c r="B39" s="22"/>
      <c r="C39" s="172"/>
      <c r="D39" s="8">
        <v>36</v>
      </c>
      <c r="E39" s="228">
        <v>43155</v>
      </c>
      <c r="F39" s="170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27" t="str">
        <f ca="1">IFERROR(MATCH(A39,OFFSET(Grades!$A$6,MATCH(Rates!$C$6,LIST,0),6,1,SUMIF(Grades!$A:$A,Rates!$C$6,Grades!$F:$F)),0),"-")</f>
        <v>-</v>
      </c>
    </row>
    <row r="40" spans="1:44" ht="18.75" customHeight="1" x14ac:dyDescent="0.2">
      <c r="A40" s="8">
        <v>37</v>
      </c>
      <c r="B40" s="22"/>
      <c r="C40" s="172"/>
      <c r="D40" s="8">
        <v>37</v>
      </c>
      <c r="E40" s="228">
        <v>44414</v>
      </c>
      <c r="F40" s="17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7" t="str">
        <f ca="1">IFERROR(MATCH(A40,OFFSET(Grades!$A$6,MATCH(Rates!$C$6,LIST,0),6,1,SUMIF(Grades!$A:$A,Rates!$C$6,Grades!$F:$F)),0),"-")</f>
        <v>-</v>
      </c>
    </row>
    <row r="41" spans="1:44" ht="18.75" customHeight="1" x14ac:dyDescent="0.2">
      <c r="A41" s="8">
        <v>38</v>
      </c>
      <c r="B41" s="22"/>
      <c r="C41" s="172"/>
      <c r="D41" s="8">
        <v>38</v>
      </c>
      <c r="E41" s="228">
        <v>45737</v>
      </c>
      <c r="F41" s="17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27" t="str">
        <f ca="1">IFERROR(MATCH(A41,OFFSET(Grades!$A$6,MATCH(Rates!$C$6,LIST,0),6,1,SUMIF(Grades!$A:$A,Rates!$C$6,Grades!$F:$F)),0),"-")</f>
        <v>-</v>
      </c>
    </row>
    <row r="42" spans="1:44" ht="18.75" customHeight="1" x14ac:dyDescent="0.2">
      <c r="A42" s="8">
        <v>39</v>
      </c>
      <c r="B42" s="22"/>
      <c r="C42" s="172"/>
      <c r="D42" s="8">
        <v>39</v>
      </c>
      <c r="E42" s="228">
        <v>47047</v>
      </c>
      <c r="F42" s="17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27" t="str">
        <f ca="1">IFERROR(MATCH(A42,OFFSET(Grades!$A$6,MATCH(Rates!$C$6,LIST,0),6,1,SUMIF(Grades!$A:$A,Rates!$C$6,Grades!$F:$F)),0),"-")</f>
        <v>-</v>
      </c>
    </row>
    <row r="43" spans="1:44" ht="18.75" customHeight="1" x14ac:dyDescent="0.2">
      <c r="A43" s="8">
        <v>40</v>
      </c>
      <c r="B43" s="22"/>
      <c r="C43" s="172"/>
      <c r="D43" s="8">
        <v>40</v>
      </c>
      <c r="E43" s="228">
        <v>48423</v>
      </c>
      <c r="F43" s="17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27" t="str">
        <f ca="1">IFERROR(MATCH(A43,OFFSET(Grades!$A$6,MATCH(Rates!$C$6,LIST,0),6,1,SUMIF(Grades!$A:$A,Rates!$C$6,Grades!$F:$F)),0),"-")</f>
        <v>-</v>
      </c>
    </row>
    <row r="44" spans="1:44" ht="18.75" customHeight="1" x14ac:dyDescent="0.2">
      <c r="A44" s="8">
        <v>41</v>
      </c>
      <c r="B44" s="22"/>
      <c r="C44" s="172"/>
      <c r="D44" s="8">
        <v>41</v>
      </c>
      <c r="E44" s="228">
        <v>49841</v>
      </c>
      <c r="F44" s="170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27" t="str">
        <f ca="1">IFERROR(MATCH(A44,OFFSET(Grades!$A$6,MATCH(Rates!$C$6,LIST,0),6,1,SUMIF(Grades!$A:$A,Rates!$C$6,Grades!$F:$F)),0),"-")</f>
        <v>-</v>
      </c>
    </row>
    <row r="45" spans="1:44" ht="18.75" customHeight="1" x14ac:dyDescent="0.2">
      <c r="A45" s="8">
        <v>42</v>
      </c>
      <c r="B45" s="22"/>
      <c r="C45" s="172"/>
      <c r="D45" s="8">
        <v>42</v>
      </c>
      <c r="E45" s="228">
        <v>51306</v>
      </c>
      <c r="F45" s="170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27" t="str">
        <f ca="1">IFERROR(MATCH(A45,OFFSET(Grades!$A$6,MATCH(Rates!$C$6,LIST,0),6,1,SUMIF(Grades!$A:$A,Rates!$C$6,Grades!$F:$F)),0),"-")</f>
        <v>-</v>
      </c>
    </row>
    <row r="46" spans="1:44" ht="18.75" customHeight="1" x14ac:dyDescent="0.2">
      <c r="A46" s="8">
        <v>43</v>
      </c>
      <c r="B46" s="22"/>
      <c r="C46" s="172"/>
      <c r="D46" s="8">
        <v>43</v>
      </c>
      <c r="E46" s="228">
        <v>52841</v>
      </c>
      <c r="F46" s="170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27" t="str">
        <f ca="1">IFERROR(MATCH(A46,OFFSET(Grades!$A$6,MATCH(Rates!$C$6,LIST,0),6,1,SUMIF(Grades!$A:$A,Rates!$C$6,Grades!$F:$F)),0),"-")</f>
        <v>-</v>
      </c>
    </row>
    <row r="47" spans="1:44" ht="18.75" customHeight="1" x14ac:dyDescent="0.2">
      <c r="A47" s="8">
        <v>44</v>
      </c>
      <c r="B47" s="22"/>
      <c r="C47" s="172"/>
      <c r="D47" s="8">
        <v>44</v>
      </c>
      <c r="E47" s="228">
        <v>54421</v>
      </c>
      <c r="F47" s="170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27" t="str">
        <f ca="1">IFERROR(MATCH(A47,OFFSET(Grades!$A$6,MATCH(Rates!$C$6,LIST,0),6,1,SUMIF(Grades!$A:$A,Rates!$C$6,Grades!$F:$F)),0),"-")</f>
        <v>-</v>
      </c>
    </row>
    <row r="48" spans="1:44" ht="18.75" customHeight="1" x14ac:dyDescent="0.2">
      <c r="A48" s="8">
        <v>45</v>
      </c>
      <c r="B48" s="22"/>
      <c r="C48" s="172"/>
      <c r="D48" s="8">
        <v>45</v>
      </c>
      <c r="E48" s="228">
        <v>56048</v>
      </c>
      <c r="F48" s="17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27" t="str">
        <f ca="1">IFERROR(MATCH(A48,OFFSET(Grades!$A$6,MATCH(Rates!$C$6,LIST,0),6,1,SUMIF(Grades!$A:$A,Rates!$C$6,Grades!$F:$F)),0),"-")</f>
        <v>-</v>
      </c>
    </row>
    <row r="49" spans="1:44" ht="18.75" customHeight="1" x14ac:dyDescent="0.2">
      <c r="A49" s="8">
        <v>46</v>
      </c>
      <c r="B49" s="22"/>
      <c r="C49" s="172"/>
      <c r="D49" s="8">
        <v>46</v>
      </c>
      <c r="E49" s="228">
        <v>57723</v>
      </c>
      <c r="F49" s="170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27" t="str">
        <f ca="1">IFERROR(MATCH(A49,OFFSET(Grades!$A$6,MATCH(Rates!$C$6,LIST,0),6,1,SUMIF(Grades!$A:$A,Rates!$C$6,Grades!$F:$F)),0),"-")</f>
        <v>-</v>
      </c>
    </row>
    <row r="50" spans="1:44" ht="18.75" customHeight="1" x14ac:dyDescent="0.2">
      <c r="A50" s="8">
        <v>47</v>
      </c>
      <c r="B50" s="22"/>
      <c r="C50" s="172"/>
      <c r="D50" s="8">
        <v>47</v>
      </c>
      <c r="E50" s="228">
        <v>59450</v>
      </c>
      <c r="F50" s="170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27" t="str">
        <f ca="1">IFERROR(MATCH(A50,OFFSET(Grades!$A$6,MATCH(Rates!$C$6,LIST,0),6,1,SUMIF(Grades!$A:$A,Rates!$C$6,Grades!$F:$F)),0),"-")</f>
        <v>-</v>
      </c>
    </row>
    <row r="51" spans="1:44" ht="18.75" customHeight="1" x14ac:dyDescent="0.2">
      <c r="A51" s="8">
        <v>48</v>
      </c>
      <c r="B51" s="22"/>
      <c r="C51" s="172"/>
      <c r="D51" s="8">
        <v>48</v>
      </c>
      <c r="E51" s="228">
        <v>61228</v>
      </c>
      <c r="F51" s="170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27" t="str">
        <f ca="1">IFERROR(MATCH(A51,OFFSET(Grades!$A$6,MATCH(Rates!$C$6,LIST,0),6,1,SUMIF(Grades!$A:$A,Rates!$C$6,Grades!$F:$F)),0),"-")</f>
        <v>-</v>
      </c>
    </row>
    <row r="52" spans="1:44" ht="18.75" customHeight="1" x14ac:dyDescent="0.2">
      <c r="A52" s="8">
        <v>49</v>
      </c>
      <c r="B52" s="22"/>
      <c r="C52" s="172"/>
      <c r="D52" s="8">
        <v>49</v>
      </c>
      <c r="E52" s="228">
        <v>63059</v>
      </c>
      <c r="F52" s="170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27" t="str">
        <f ca="1">IFERROR(MATCH(A52,OFFSET(Grades!$A$6,MATCH(Rates!$C$6,LIST,0),6,1,SUMIF(Grades!$A:$A,Rates!$C$6,Grades!$F:$F)),0),"-")</f>
        <v>-</v>
      </c>
    </row>
    <row r="53" spans="1:44" ht="18.75" customHeight="1" x14ac:dyDescent="0.2">
      <c r="A53" s="8">
        <v>50</v>
      </c>
      <c r="B53" s="22"/>
      <c r="C53" s="172"/>
      <c r="D53" s="8">
        <v>50</v>
      </c>
      <c r="E53" s="228">
        <v>64946</v>
      </c>
      <c r="F53" s="170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7" t="str">
        <f ca="1">IFERROR(MATCH(A53,OFFSET(Grades!$A$6,MATCH(Rates!$C$6,LIST,0),6,1,SUMIF(Grades!$A:$A,Rates!$C$6,Grades!$F:$F)),0),"-")</f>
        <v>-</v>
      </c>
    </row>
    <row r="54" spans="1:44" ht="18.75" customHeight="1" x14ac:dyDescent="0.2">
      <c r="A54" s="8">
        <v>51</v>
      </c>
      <c r="B54" s="22"/>
      <c r="C54" s="172"/>
      <c r="D54" s="8">
        <v>51</v>
      </c>
      <c r="E54" s="228">
        <v>66890</v>
      </c>
      <c r="F54" s="170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7" t="str">
        <f ca="1">IFERROR(MATCH(A54,OFFSET(Grades!$A$6,MATCH(Rates!$C$6,LIST,0),6,1,SUMIF(Grades!$A:$A,Rates!$C$6,Grades!$F:$F)),0),"-")</f>
        <v>-</v>
      </c>
    </row>
    <row r="55" spans="1:44" ht="18.75" customHeight="1" x14ac:dyDescent="0.25">
      <c r="A55" s="9">
        <v>52</v>
      </c>
      <c r="B55" s="21"/>
      <c r="C55" s="172"/>
      <c r="D55" s="9">
        <v>52</v>
      </c>
      <c r="E55" s="229">
        <v>68871</v>
      </c>
      <c r="F55" s="3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7" t="str">
        <f ca="1">IFERROR(MATCH(A55,OFFSET(Grades!$A$6,MATCH(Rates!$C$6,LIST,0),6,1,SUMIF(Grades!$A:$A,Rates!$C$6,Grades!$F:$F)),0),"-")</f>
        <v>-</v>
      </c>
    </row>
    <row r="56" spans="1:44" ht="18.75" customHeight="1" x14ac:dyDescent="0.25">
      <c r="A56" s="9">
        <v>53</v>
      </c>
      <c r="B56" s="21"/>
      <c r="C56" s="172"/>
      <c r="D56" s="9">
        <v>53</v>
      </c>
      <c r="E56" s="229">
        <v>70932</v>
      </c>
      <c r="F56" s="3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7" t="str">
        <f ca="1">IFERROR(MATCH(A56,OFFSET(Grades!$A$6,MATCH(Rates!$C$6,LIST,0),6,1,SUMIF(Grades!$A:$A,Rates!$C$6,Grades!$F:$F)),0),"-")</f>
        <v>-</v>
      </c>
    </row>
    <row r="57" spans="1:44" ht="18.75" customHeight="1" x14ac:dyDescent="0.25">
      <c r="A57" s="9">
        <v>54</v>
      </c>
      <c r="B57" s="21"/>
      <c r="C57" s="172"/>
      <c r="D57" s="9">
        <v>54</v>
      </c>
      <c r="E57" s="229">
        <v>73058</v>
      </c>
      <c r="F57" s="3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7" t="str">
        <f ca="1">IFERROR(MATCH(A57,OFFSET(Grades!$A$6,MATCH(Rates!$C$6,LIST,0),6,1,SUMIF(Grades!$A:$A,Rates!$C$6,Grades!$F:$F)),0),"-")</f>
        <v>-</v>
      </c>
    </row>
    <row r="58" spans="1:44" ht="18.75" customHeight="1" x14ac:dyDescent="0.25">
      <c r="A58" s="9">
        <v>55</v>
      </c>
      <c r="B58" s="21"/>
      <c r="C58" s="172"/>
      <c r="D58" s="9">
        <v>55</v>
      </c>
      <c r="E58" s="229">
        <v>75243</v>
      </c>
      <c r="F58" s="3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7" t="str">
        <f ca="1">IFERROR(MATCH(A58,OFFSET(Grades!$A$6,MATCH(Rates!$C$6,LIST,0),6,1,SUMIF(Grades!$A:$A,Rates!$C$6,Grades!$F:$F)),0),"-")</f>
        <v>-</v>
      </c>
    </row>
    <row r="59" spans="1:44" ht="18.75" customHeight="1" x14ac:dyDescent="0.25">
      <c r="A59" s="9">
        <v>56</v>
      </c>
      <c r="B59" s="21"/>
      <c r="C59" s="172"/>
      <c r="D59" s="9">
        <v>56</v>
      </c>
      <c r="E59" s="229">
        <v>77495</v>
      </c>
      <c r="F59" s="3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7" t="str">
        <f ca="1">IFERROR(MATCH(A59,OFFSET(Grades!$A$6,MATCH(Rates!$C$6,LIST,0),6,1,SUMIF(Grades!$A:$A,Rates!$C$6,Grades!$F:$F)),0),"-")</f>
        <v>-</v>
      </c>
    </row>
    <row r="60" spans="1:44" ht="18.75" customHeight="1" thickBot="1" x14ac:dyDescent="0.3">
      <c r="A60" s="178">
        <v>57</v>
      </c>
      <c r="B60" s="179"/>
      <c r="C60" s="172"/>
      <c r="D60" s="178">
        <v>57</v>
      </c>
      <c r="E60" s="230">
        <v>79814</v>
      </c>
      <c r="F60" s="3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7" t="str">
        <f ca="1">IFERROR(MATCH(A60,OFFSET(Grades!$A$6,MATCH(Rates!$C$6,LIST,0),6,1,SUMIF(Grades!$A:$A,Rates!$C$6,Grades!$F:$F)),0),"-")</f>
        <v>-</v>
      </c>
    </row>
    <row r="61" spans="1:44" ht="18.75" x14ac:dyDescent="0.25">
      <c r="A61" s="180">
        <v>116</v>
      </c>
      <c r="B61" s="181">
        <v>12734</v>
      </c>
      <c r="C61" s="346" t="s">
        <v>207</v>
      </c>
      <c r="D61" s="182">
        <v>116</v>
      </c>
      <c r="E61" s="188">
        <f>ROUND(E4*70%,0)</f>
        <v>0</v>
      </c>
      <c r="F61" s="3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7" t="str">
        <f ca="1">IFERROR(MATCH(A61,OFFSET(Grades!$A$6,MATCH(Rates!$C$6,LIST,0),6,1,SUMIF(Grades!$A:$A,Rates!$C$6,Grades!$F:$F)),0),"-")</f>
        <v>-</v>
      </c>
    </row>
    <row r="62" spans="1:44" ht="18.75" x14ac:dyDescent="0.25">
      <c r="A62" s="183">
        <v>216</v>
      </c>
      <c r="B62" s="176">
        <v>12979</v>
      </c>
      <c r="C62" s="347"/>
      <c r="D62" s="9">
        <v>216</v>
      </c>
      <c r="E62" s="189">
        <f t="shared" ref="E62:E69" si="7">ROUND(E5*70%,0)</f>
        <v>0</v>
      </c>
      <c r="F62" s="3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27" t="str">
        <f ca="1">IFERROR(MATCH(A62,OFFSET(Grades!$A$6,MATCH(Rates!$C$6,LIST,0),6,1,SUMIF(Grades!$A:$A,Rates!$C$6,Grades!$F:$F)),0),"-")</f>
        <v>-</v>
      </c>
    </row>
    <row r="63" spans="1:44" ht="18.75" customHeight="1" x14ac:dyDescent="0.25">
      <c r="A63" s="183">
        <v>316</v>
      </c>
      <c r="B63" s="177">
        <v>13229</v>
      </c>
      <c r="C63" s="347"/>
      <c r="D63" s="9">
        <v>316</v>
      </c>
      <c r="E63" s="190">
        <f t="shared" si="7"/>
        <v>0</v>
      </c>
      <c r="F63" s="38"/>
      <c r="AR63" s="27" t="str">
        <f ca="1">IFERROR(MATCH(A63,OFFSET(Grades!$A$6,MATCH(Rates!$C$6,LIST,0),6,1,SUMIF(Grades!$A:$A,Rates!$C$6,Grades!$F:$F)),0),"-")</f>
        <v>-</v>
      </c>
    </row>
    <row r="64" spans="1:44" ht="18.75" customHeight="1" x14ac:dyDescent="0.25">
      <c r="A64" s="183">
        <v>416</v>
      </c>
      <c r="B64" s="177">
        <v>13364</v>
      </c>
      <c r="C64" s="347"/>
      <c r="D64" s="9">
        <v>416</v>
      </c>
      <c r="E64" s="190">
        <f t="shared" si="7"/>
        <v>0</v>
      </c>
      <c r="F64" s="38"/>
      <c r="AR64" s="27" t="str">
        <f ca="1">IFERROR(MATCH(A64,OFFSET(Grades!$A$6,MATCH(Rates!$C$6,LIST,0),6,1,SUMIF(Grades!$A:$A,Rates!$C$6,Grades!$F:$F)),0),"-")</f>
        <v>-</v>
      </c>
    </row>
    <row r="65" spans="1:44" ht="18.75" customHeight="1" x14ac:dyDescent="0.25">
      <c r="A65" s="183">
        <v>516</v>
      </c>
      <c r="B65" s="177">
        <v>13533</v>
      </c>
      <c r="C65" s="347"/>
      <c r="D65" s="9">
        <v>516</v>
      </c>
      <c r="E65" s="190">
        <f t="shared" si="7"/>
        <v>0</v>
      </c>
      <c r="F65" s="38"/>
      <c r="AR65" s="27" t="str">
        <f ca="1">IFERROR(MATCH(A65,OFFSET(Grades!$A$6,MATCH(Rates!$C$6,LIST,0),6,1,SUMIF(Grades!$A:$A,Rates!$C$6,Grades!$F:$F)),0),"-")</f>
        <v>-</v>
      </c>
    </row>
    <row r="66" spans="1:44" ht="18.75" customHeight="1" x14ac:dyDescent="0.25">
      <c r="A66" s="183">
        <v>616</v>
      </c>
      <c r="B66" s="177">
        <v>13705</v>
      </c>
      <c r="C66" s="347"/>
      <c r="D66" s="9">
        <v>616</v>
      </c>
      <c r="E66" s="190">
        <f t="shared" si="7"/>
        <v>0</v>
      </c>
      <c r="F66" s="38"/>
      <c r="AR66" s="27" t="str">
        <f ca="1">IFERROR(MATCH(A66,OFFSET(Grades!$A$6,MATCH(Rates!$C$6,LIST,0),6,1,SUMIF(Grades!$A:$A,Rates!$C$6,Grades!$F:$F)),0),"-")</f>
        <v>-</v>
      </c>
    </row>
    <row r="67" spans="1:44" ht="18.75" customHeight="1" x14ac:dyDescent="0.25">
      <c r="A67" s="183">
        <v>716</v>
      </c>
      <c r="B67" s="177">
        <v>13904</v>
      </c>
      <c r="C67" s="347"/>
      <c r="D67" s="9">
        <v>716</v>
      </c>
      <c r="E67" s="190">
        <f t="shared" si="7"/>
        <v>0</v>
      </c>
      <c r="F67" s="38"/>
      <c r="AR67" s="27" t="str">
        <f ca="1">IFERROR(MATCH(A67,OFFSET(Grades!$A$6,MATCH(Rates!$C$6,LIST,0),6,1,SUMIF(Grades!$A:$A,Rates!$C$6,Grades!$F:$F)),0),"-")</f>
        <v>-</v>
      </c>
    </row>
    <row r="68" spans="1:44" ht="18.75" customHeight="1" x14ac:dyDescent="0.25">
      <c r="A68" s="183">
        <v>816</v>
      </c>
      <c r="B68" s="177">
        <v>14094</v>
      </c>
      <c r="C68" s="347"/>
      <c r="D68" s="9">
        <v>816</v>
      </c>
      <c r="E68" s="190">
        <f t="shared" si="7"/>
        <v>0</v>
      </c>
      <c r="F68" s="38"/>
      <c r="Q68" s="15"/>
      <c r="AR68" s="27" t="str">
        <f ca="1">IFERROR(MATCH(A68,OFFSET(Grades!$A$6,MATCH(Rates!$C$6,LIST,0),6,1,SUMIF(Grades!$A:$A,Rates!$C$6,Grades!$F:$F)),0),"-")</f>
        <v>-</v>
      </c>
    </row>
    <row r="69" spans="1:44" ht="18.75" customHeight="1" x14ac:dyDescent="0.25">
      <c r="A69" s="183">
        <v>916</v>
      </c>
      <c r="B69" s="177">
        <v>14280</v>
      </c>
      <c r="C69" s="347"/>
      <c r="D69" s="9">
        <v>916</v>
      </c>
      <c r="E69" s="190">
        <f t="shared" si="7"/>
        <v>0</v>
      </c>
      <c r="F69" s="38"/>
      <c r="AR69" s="27" t="str">
        <f ca="1">IFERROR(MATCH(A69,OFFSET(Grades!$A$6,MATCH(Rates!$C$6,LIST,0),6,1,SUMIF(Grades!$A:$A,Rates!$C$6,Grades!$F:$F)),0),"-")</f>
        <v>-</v>
      </c>
    </row>
    <row r="70" spans="1:44" ht="18.75" x14ac:dyDescent="0.25">
      <c r="A70" s="183">
        <v>117</v>
      </c>
      <c r="B70" s="175">
        <v>15463</v>
      </c>
      <c r="C70" s="347"/>
      <c r="D70" s="9">
        <v>117</v>
      </c>
      <c r="E70" s="191">
        <f>ROUND(E4*85%,0)</f>
        <v>0</v>
      </c>
      <c r="F70" s="38"/>
      <c r="AR70" s="27" t="str">
        <f ca="1">IFERROR(MATCH(A70,OFFSET(Grades!$A$6,MATCH(Rates!$C$6,LIST,0),6,1,SUMIF(Grades!$A:$A,Rates!$C$6,Grades!$F:$F)),0),"-")</f>
        <v>-</v>
      </c>
    </row>
    <row r="71" spans="1:44" ht="18.75" x14ac:dyDescent="0.25">
      <c r="A71" s="183">
        <v>217</v>
      </c>
      <c r="B71" s="176">
        <v>15761</v>
      </c>
      <c r="C71" s="347"/>
      <c r="D71" s="9">
        <v>217</v>
      </c>
      <c r="E71" s="189">
        <f t="shared" ref="E71:E78" si="8">ROUND(E5*85%,0)</f>
        <v>0</v>
      </c>
      <c r="F71" s="38"/>
      <c r="AR71" s="27" t="str">
        <f ca="1">IFERROR(MATCH(A71,OFFSET(Grades!$A$6,MATCH(Rates!$C$6,LIST,0),6,1,SUMIF(Grades!$A:$A,Rates!$C$6,Grades!$F:$F)),0),"-")</f>
        <v>-</v>
      </c>
    </row>
    <row r="72" spans="1:44" ht="18.75" customHeight="1" x14ac:dyDescent="0.25">
      <c r="A72" s="183">
        <v>317</v>
      </c>
      <c r="B72" s="177">
        <v>16063</v>
      </c>
      <c r="C72" s="347"/>
      <c r="D72" s="9">
        <v>317</v>
      </c>
      <c r="E72" s="190">
        <f t="shared" si="8"/>
        <v>0</v>
      </c>
      <c r="F72" s="38"/>
      <c r="AR72" s="27" t="str">
        <f ca="1">IFERROR(MATCH(A72,OFFSET(Grades!$A$6,MATCH(Rates!$C$6,LIST,0),6,1,SUMIF(Grades!$A:$A,Rates!$C$6,Grades!$F:$F)),0),"-")</f>
        <v>-</v>
      </c>
    </row>
    <row r="73" spans="1:44" ht="18.75" customHeight="1" x14ac:dyDescent="0.25">
      <c r="A73" s="183">
        <v>417</v>
      </c>
      <c r="B73" s="177">
        <v>16228</v>
      </c>
      <c r="C73" s="347"/>
      <c r="D73" s="9">
        <v>417</v>
      </c>
      <c r="E73" s="190">
        <f t="shared" si="8"/>
        <v>0</v>
      </c>
      <c r="F73" s="38"/>
      <c r="AR73" s="27" t="str">
        <f ca="1">IFERROR(MATCH(A73,OFFSET(Grades!$A$6,MATCH(Rates!$C$6,LIST,0),6,1,SUMIF(Grades!$A:$A,Rates!$C$6,Grades!$F:$F)),0),"-")</f>
        <v>-</v>
      </c>
    </row>
    <row r="74" spans="1:44" ht="18.75" customHeight="1" x14ac:dyDescent="0.25">
      <c r="A74" s="183">
        <v>517</v>
      </c>
      <c r="B74" s="177">
        <v>16433</v>
      </c>
      <c r="C74" s="347"/>
      <c r="D74" s="9">
        <v>517</v>
      </c>
      <c r="E74" s="190">
        <f t="shared" si="8"/>
        <v>0</v>
      </c>
      <c r="F74" s="38"/>
      <c r="AR74" s="27" t="str">
        <f ca="1">IFERROR(MATCH(A74,OFFSET(Grades!$A$6,MATCH(Rates!$C$6,LIST,0),6,1,SUMIF(Grades!$A:$A,Rates!$C$6,Grades!$F:$F)),0),"-")</f>
        <v>-</v>
      </c>
    </row>
    <row r="75" spans="1:44" ht="18.75" customHeight="1" x14ac:dyDescent="0.25">
      <c r="A75" s="183">
        <v>617</v>
      </c>
      <c r="B75" s="177">
        <v>16641</v>
      </c>
      <c r="C75" s="347"/>
      <c r="D75" s="9">
        <v>617</v>
      </c>
      <c r="E75" s="190">
        <f t="shared" si="8"/>
        <v>0</v>
      </c>
      <c r="F75" s="38"/>
      <c r="AR75" s="27" t="str">
        <f ca="1">IFERROR(MATCH(A75,OFFSET(Grades!$A$6,MATCH(Rates!$C$6,LIST,0),6,1,SUMIF(Grades!$A:$A,Rates!$C$6,Grades!$F:$F)),0),"-")</f>
        <v>-</v>
      </c>
    </row>
    <row r="76" spans="1:44" ht="18.75" customHeight="1" x14ac:dyDescent="0.25">
      <c r="A76" s="183">
        <v>717</v>
      </c>
      <c r="B76" s="177">
        <v>16884</v>
      </c>
      <c r="C76" s="347"/>
      <c r="D76" s="9">
        <v>717</v>
      </c>
      <c r="E76" s="190">
        <f t="shared" si="8"/>
        <v>0</v>
      </c>
      <c r="F76" s="38"/>
      <c r="AR76" s="27" t="str">
        <f ca="1">IFERROR(MATCH(A76,OFFSET(Grades!$A$6,MATCH(Rates!$C$6,LIST,0),6,1,SUMIF(Grades!$A:$A,Rates!$C$6,Grades!$F:$F)),0),"-")</f>
        <v>-</v>
      </c>
    </row>
    <row r="77" spans="1:44" ht="18.75" customHeight="1" x14ac:dyDescent="0.25">
      <c r="A77" s="183">
        <v>817</v>
      </c>
      <c r="B77" s="177">
        <v>17114</v>
      </c>
      <c r="C77" s="347"/>
      <c r="D77" s="9">
        <v>817</v>
      </c>
      <c r="E77" s="190">
        <f t="shared" si="8"/>
        <v>0</v>
      </c>
      <c r="F77" s="38"/>
      <c r="AR77" s="27" t="str">
        <f ca="1">IFERROR(MATCH(A77,OFFSET(Grades!$A$6,MATCH(Rates!$C$6,LIST,0),6,1,SUMIF(Grades!$A:$A,Rates!$C$6,Grades!$F:$F)),0),"-")</f>
        <v>-</v>
      </c>
    </row>
    <row r="78" spans="1:44" ht="18.75" customHeight="1" thickBot="1" x14ac:dyDescent="0.3">
      <c r="A78" s="184">
        <v>917</v>
      </c>
      <c r="B78" s="185">
        <v>17340</v>
      </c>
      <c r="C78" s="348"/>
      <c r="D78" s="186">
        <v>917</v>
      </c>
      <c r="E78" s="192">
        <f t="shared" si="8"/>
        <v>0</v>
      </c>
      <c r="F78" s="38"/>
      <c r="AR78" s="27" t="str">
        <f ca="1">IFERROR(MATCH(A78,OFFSET(Grades!$A$6,MATCH(Rates!$C$6,LIST,0),6,1,SUMIF(Grades!$A:$A,Rates!$C$6,Grades!$F:$F)),0),"-")</f>
        <v>-</v>
      </c>
    </row>
    <row r="79" spans="1:44" ht="18.75" customHeight="1" x14ac:dyDescent="0.25">
      <c r="A79" s="198"/>
      <c r="B79" s="199"/>
      <c r="D79" s="3"/>
      <c r="E79" s="3"/>
      <c r="F79" s="187"/>
      <c r="AR79" s="27" t="str">
        <f ca="1">IFERROR(MATCH(A79,OFFSET(Grades!$A$6,MATCH(Rates!$C$6,LIST,0),6,1,SUMIF(Grades!$A:$A,Rates!$C$6,Grades!$F:$F)),0),"-")</f>
        <v>-</v>
      </c>
    </row>
    <row r="80" spans="1:44" ht="18.75" customHeight="1" x14ac:dyDescent="0.25">
      <c r="A80" s="11"/>
      <c r="B80" s="3"/>
      <c r="C80" s="173"/>
      <c r="D80" s="3"/>
      <c r="E80" s="3"/>
      <c r="F80" s="5"/>
      <c r="AR80" s="27" t="str">
        <f ca="1">IFERROR(MATCH(A80,OFFSET(Grades!$A$6,MATCH(Rates!$C$6,LIST,0),6,1,SUMIF(Grades!$A:$A,Rates!$C$6,Grades!$F:$F)),0),"-")</f>
        <v>-</v>
      </c>
    </row>
    <row r="81" spans="1:44" ht="18.75" customHeight="1" x14ac:dyDescent="0.25">
      <c r="A81" s="11"/>
      <c r="B81" s="3"/>
      <c r="D81" s="3"/>
      <c r="E81" s="3"/>
      <c r="F81" s="5"/>
      <c r="AR81" s="27" t="str">
        <f ca="1">IFERROR(MATCH(A81,OFFSET(Grades!$A$6,MATCH(Rates!$C$6,LIST,0),6,1,SUMIF(Grades!$A:$A,Rates!$C$6,Grades!$F:$F)),0),"-")</f>
        <v>-</v>
      </c>
    </row>
    <row r="82" spans="1:44" ht="18.75" customHeight="1" x14ac:dyDescent="0.25">
      <c r="A82" s="11"/>
      <c r="B82" s="3"/>
      <c r="C82" s="174"/>
      <c r="D82" s="3"/>
      <c r="E82" s="3"/>
      <c r="F82" s="5"/>
      <c r="AR82" s="27" t="str">
        <f ca="1">IFERROR(MATCH(A82,OFFSET(Grades!$A$6,MATCH(Rates!$C$6,LIST,0),6,1,SUMIF(Grades!$A:$A,Rates!$C$6,Grades!$F:$F)),0),"-")</f>
        <v>-</v>
      </c>
    </row>
    <row r="83" spans="1:44" ht="18.75" customHeight="1" x14ac:dyDescent="0.25">
      <c r="A83" s="11"/>
      <c r="B83" s="3"/>
      <c r="C83" s="174"/>
      <c r="D83" s="3"/>
      <c r="E83" s="3"/>
      <c r="F83" s="5"/>
      <c r="AR83" s="27" t="str">
        <f ca="1">IFERROR(MATCH(A83,OFFSET(Grades!$A$6,MATCH(Rates!$C$6,LIST,0),6,1,SUMIF(Grades!$A:$A,Rates!$C$6,Grades!$F:$F)),0),"-")</f>
        <v>-</v>
      </c>
    </row>
    <row r="84" spans="1:44" ht="18.75" customHeight="1" x14ac:dyDescent="0.25">
      <c r="A84" s="11"/>
      <c r="B84" s="3"/>
      <c r="D84" s="3"/>
      <c r="E84" s="3"/>
      <c r="F84" s="5"/>
      <c r="AR84" s="27" t="str">
        <f ca="1">IFERROR(MATCH(A84,OFFSET(Grades!$A$6,MATCH(Rates!$C$6,LIST,0),6,1,SUMIF(Grades!$A:$A,Rates!$C$6,Grades!$F:$F)),0),"-")</f>
        <v>-</v>
      </c>
    </row>
    <row r="85" spans="1:44" ht="18.75" customHeight="1" x14ac:dyDescent="0.25">
      <c r="A85" s="11"/>
      <c r="B85" s="3"/>
      <c r="D85" s="3"/>
      <c r="E85" s="3"/>
      <c r="F85" s="5"/>
      <c r="AR85" s="27" t="str">
        <f ca="1">IFERROR(MATCH(A85,OFFSET(Grades!$A$6,MATCH(Rates!$C$6,LIST,0),6,1,SUMIF(Grades!$A:$A,Rates!$C$6,Grades!$F:$F)),0),"-")</f>
        <v>-</v>
      </c>
    </row>
    <row r="86" spans="1:44" ht="18.75" customHeight="1" x14ac:dyDescent="0.25">
      <c r="A86" s="11"/>
      <c r="B86" s="3"/>
      <c r="D86" s="3"/>
      <c r="E86" s="3"/>
      <c r="F86" s="5"/>
      <c r="AR86" s="27" t="str">
        <f ca="1">IFERROR(MATCH(A86,OFFSET(Grades!$A$6,MATCH(Rates!$C$6,LIST,0),6,1,SUMIF(Grades!$A:$A,Rates!$C$6,Grades!$F:$F)),0),"-")</f>
        <v>-</v>
      </c>
    </row>
    <row r="87" spans="1:44" ht="18.75" customHeight="1" x14ac:dyDescent="0.25">
      <c r="A87" s="11"/>
      <c r="B87" s="3"/>
      <c r="D87" s="3"/>
      <c r="E87" s="3"/>
      <c r="F87" s="5"/>
      <c r="AR87" s="27" t="str">
        <f ca="1">IFERROR(MATCH(A87,OFFSET(Grades!$A$6,MATCH(Rates!$C$6,LIST,0),6,1,SUMIF(Grades!$A:$A,Rates!$C$6,Grades!$F:$F)),0),"-")</f>
        <v>-</v>
      </c>
    </row>
    <row r="88" spans="1:44" ht="18.75" customHeight="1" x14ac:dyDescent="0.25">
      <c r="A88" s="11"/>
      <c r="B88" s="3"/>
      <c r="D88" s="3"/>
      <c r="E88" s="3"/>
      <c r="F88" s="5"/>
      <c r="AR88" s="27" t="str">
        <f ca="1">IFERROR(MATCH(A88,OFFSET(Grades!$A$6,MATCH(Rates!$C$6,LIST,0),6,1,SUMIF(Grades!$A:$A,Rates!$C$6,Grades!$F:$F)),0),"-")</f>
        <v>-</v>
      </c>
    </row>
    <row r="89" spans="1:44" ht="18.75" customHeight="1" x14ac:dyDescent="0.25">
      <c r="A89" s="11"/>
      <c r="B89" s="3"/>
      <c r="D89" s="3"/>
      <c r="E89" s="3"/>
      <c r="F89" s="5"/>
      <c r="AR89" s="27" t="str">
        <f ca="1">IFERROR(MATCH(A89,OFFSET(Grades!$A$6,MATCH(Rates!$C$6,LIST,0),6,1,SUMIF(Grades!$A:$A,Rates!$C$6,Grades!$F:$F)),0),"-")</f>
        <v>-</v>
      </c>
    </row>
    <row r="90" spans="1:44" ht="18.75" customHeight="1" x14ac:dyDescent="0.25">
      <c r="A90" s="11"/>
      <c r="B90" s="3"/>
      <c r="D90" s="3"/>
      <c r="E90" s="3"/>
      <c r="F90" s="5"/>
      <c r="AR90" s="27" t="str">
        <f ca="1">IFERROR(MATCH(A90,OFFSET(Grades!$A$6,MATCH(Rates!$C$6,LIST,0),6,1,SUMIF(Grades!$A:$A,Rates!$C$6,Grades!$F:$F)),0),"-")</f>
        <v>-</v>
      </c>
    </row>
    <row r="91" spans="1:44" ht="18.75" customHeight="1" x14ac:dyDescent="0.25">
      <c r="A91" s="11"/>
      <c r="B91" s="3"/>
      <c r="D91" s="3"/>
      <c r="E91" s="3"/>
      <c r="F91" s="5"/>
      <c r="AR91" s="27" t="str">
        <f ca="1">IFERROR(MATCH(A91,OFFSET(Grades!$A$6,MATCH(Rates!$C$6,LIST,0),6,1,SUMIF(Grades!$A:$A,Rates!$C$6,Grades!$F:$F)),0),"-")</f>
        <v>-</v>
      </c>
    </row>
    <row r="92" spans="1:44" ht="18.75" customHeight="1" x14ac:dyDescent="0.25">
      <c r="A92" s="11"/>
      <c r="B92" s="3"/>
      <c r="D92" s="3"/>
      <c r="E92" s="3"/>
      <c r="F92" s="5"/>
      <c r="AR92" s="27" t="str">
        <f ca="1">IFERROR(MATCH(A92,OFFSET(Grades!$A$6,MATCH(Rates!$C$6,LIST,0),6,1,SUMIF(Grades!$A:$A,Rates!$C$6,Grades!$F:$F)),0),"-")</f>
        <v>-</v>
      </c>
    </row>
    <row r="93" spans="1:44" ht="18.75" customHeight="1" x14ac:dyDescent="0.25">
      <c r="A93" s="11"/>
      <c r="B93" s="3"/>
      <c r="D93" s="3"/>
      <c r="E93" s="3"/>
      <c r="F93" s="5"/>
      <c r="AR93" s="27" t="str">
        <f ca="1">IFERROR(MATCH(A93,OFFSET(Grades!$A$6,MATCH(Rates!$C$6,LIST,0),6,1,SUMIF(Grades!$A:$A,Rates!$C$6,Grades!$F:$F)),0),"-")</f>
        <v>-</v>
      </c>
    </row>
    <row r="94" spans="1:44" ht="18.75" customHeight="1" x14ac:dyDescent="0.25">
      <c r="A94" s="11"/>
      <c r="B94" s="3"/>
      <c r="D94" s="3"/>
      <c r="E94" s="3"/>
      <c r="F94" s="5"/>
      <c r="AR94" s="27" t="str">
        <f ca="1">IFERROR(MATCH(A94,OFFSET(Grades!$A$6,MATCH(Rates!$C$6,LIST,0),6,1,SUMIF(Grades!$A:$A,Rates!$C$6,Grades!$F:$F)),0),"-")</f>
        <v>-</v>
      </c>
    </row>
    <row r="95" spans="1:44" ht="18.75" customHeight="1" x14ac:dyDescent="0.25">
      <c r="A95" s="11"/>
      <c r="B95" s="3"/>
      <c r="D95" s="3"/>
      <c r="E95" s="3"/>
      <c r="F95" s="5"/>
      <c r="AR95" s="27" t="str">
        <f ca="1">IFERROR(MATCH(A95,OFFSET(Grades!$A$6,MATCH(Rates!$C$6,LIST,0),6,1,SUMIF(Grades!$A:$A,Rates!$C$6,Grades!$F:$F)),0),"-")</f>
        <v>-</v>
      </c>
    </row>
    <row r="96" spans="1:44" ht="18.75" customHeight="1" x14ac:dyDescent="0.25">
      <c r="A96" s="11"/>
      <c r="B96" s="3"/>
      <c r="D96" s="3"/>
      <c r="E96" s="3"/>
      <c r="F96" s="5"/>
      <c r="AR96" s="27" t="str">
        <f ca="1">IFERROR(MATCH(A96,OFFSET(Grades!$A$6,MATCH(Rates!$C$6,LIST,0),6,1,SUMIF(Grades!$A:$A,Rates!$C$6,Grades!$F:$F)),0),"-")</f>
        <v>-</v>
      </c>
    </row>
    <row r="97" spans="1:44" ht="18.75" customHeight="1" x14ac:dyDescent="0.25">
      <c r="A97" s="11"/>
      <c r="B97" s="3"/>
      <c r="D97" s="3"/>
      <c r="E97" s="3"/>
      <c r="F97" s="5"/>
      <c r="AR97" s="27" t="str">
        <f ca="1">IFERROR(MATCH(A97,OFFSET(Grades!$A$6,MATCH(Rates!$C$6,LIST,0),6,1,SUMIF(Grades!$A:$A,Rates!$C$6,Grades!$F:$F)),0),"-")</f>
        <v>-</v>
      </c>
    </row>
    <row r="98" spans="1:44" ht="18.75" customHeight="1" x14ac:dyDescent="0.25">
      <c r="A98" s="11"/>
      <c r="B98" s="3"/>
      <c r="D98" s="3"/>
      <c r="E98" s="3"/>
      <c r="F98" s="5"/>
      <c r="AR98" s="27" t="str">
        <f ca="1">IFERROR(MATCH(A98,OFFSET(Grades!$A$6,MATCH(Rates!$C$6,LIST,0),6,1,SUMIF(Grades!$A:$A,Rates!$C$6,Grades!$F:$F)),0),"-")</f>
        <v>-</v>
      </c>
    </row>
    <row r="99" spans="1:44" ht="18.75" customHeight="1" x14ac:dyDescent="0.25">
      <c r="A99" s="11"/>
      <c r="B99" s="3"/>
      <c r="D99" s="3"/>
      <c r="E99" s="3"/>
      <c r="F99" s="5"/>
      <c r="AR99" s="27" t="str">
        <f ca="1">IFERROR(MATCH(A99,OFFSET(Grades!$A$6,MATCH(Rates!$C$6,LIST,0),6,1,SUMIF(Grades!$A:$A,Rates!$C$6,Grades!$F:$F)),0),"-")</f>
        <v>-</v>
      </c>
    </row>
    <row r="100" spans="1:44" ht="18.75" customHeight="1" x14ac:dyDescent="0.25">
      <c r="A100" s="11"/>
      <c r="B100" s="3"/>
      <c r="D100" s="3"/>
      <c r="E100" s="3"/>
      <c r="F100" s="5"/>
      <c r="AR100" s="27" t="str">
        <f ca="1">IFERROR(MATCH(A100,OFFSET(Grades!$A$6,MATCH(Rates!$C$6,LIST,0),6,1,SUMIF(Grades!$A:$A,Rates!$C$6,Grades!$F:$F)),0),"-")</f>
        <v>-</v>
      </c>
    </row>
    <row r="101" spans="1:44" ht="18.75" customHeight="1" x14ac:dyDescent="0.25">
      <c r="A101" s="11"/>
      <c r="B101" s="3"/>
      <c r="D101" s="3"/>
      <c r="E101" s="3"/>
      <c r="F101" s="5"/>
      <c r="AR101" s="27" t="str">
        <f ca="1">IFERROR(MATCH(A101,OFFSET(Grades!$A$6,MATCH(Rates!$C$6,LIST,0),6,1,SUMIF(Grades!$A:$A,Rates!$C$6,Grades!$F:$F)),0),"-")</f>
        <v>-</v>
      </c>
    </row>
    <row r="102" spans="1:44" ht="18.75" customHeight="1" x14ac:dyDescent="0.25">
      <c r="A102" s="11"/>
      <c r="B102" s="3"/>
      <c r="D102" s="3"/>
      <c r="E102" s="3"/>
      <c r="F102" s="5"/>
      <c r="AR102" s="27" t="str">
        <f ca="1">IFERROR(MATCH(A102,OFFSET(Grades!$A$6,MATCH(Rates!$C$6,LIST,0),6,1,SUMIF(Grades!$A:$A,Rates!$C$6,Grades!$F:$F)),0),"-")</f>
        <v>-</v>
      </c>
    </row>
    <row r="103" spans="1:44" ht="18.75" customHeight="1" x14ac:dyDescent="0.25">
      <c r="A103" s="11"/>
      <c r="B103" s="3"/>
      <c r="D103" s="3"/>
      <c r="E103" s="3"/>
      <c r="F103" s="5"/>
      <c r="AR103" s="27" t="str">
        <f ca="1">IFERROR(MATCH(A103,OFFSET(Grades!$A$6,MATCH(Rates!$C$6,LIST,0),6,1,SUMIF(Grades!$A:$A,Rates!$C$6,Grades!$F:$F)),0),"-")</f>
        <v>-</v>
      </c>
    </row>
    <row r="104" spans="1:44" ht="18.75" customHeight="1" x14ac:dyDescent="0.25">
      <c r="A104" s="11"/>
      <c r="B104" s="3"/>
      <c r="D104" s="3"/>
      <c r="E104" s="3"/>
      <c r="F104" s="5"/>
      <c r="AR104" s="27" t="str">
        <f ca="1">IFERROR(MATCH(A104,OFFSET(Grades!$A$6,MATCH(Rates!$C$6,LIST,0),6,1,SUMIF(Grades!$A:$A,Rates!$C$6,Grades!$F:$F)),0),"-")</f>
        <v>-</v>
      </c>
    </row>
    <row r="105" spans="1:44" ht="18.75" customHeight="1" x14ac:dyDescent="0.25">
      <c r="A105" s="11"/>
      <c r="B105" s="3"/>
      <c r="D105" s="3"/>
      <c r="E105" s="3"/>
      <c r="F105" s="5"/>
      <c r="AR105" s="27" t="str">
        <f ca="1">IFERROR(MATCH(A105,OFFSET(Grades!$A$6,MATCH(Rates!$C$6,LIST,0),6,1,SUMIF(Grades!$A:$A,Rates!$C$6,Grades!$F:$F)),0),"-")</f>
        <v>-</v>
      </c>
    </row>
    <row r="106" spans="1:44" ht="18.75" customHeight="1" x14ac:dyDescent="0.25">
      <c r="A106" s="11"/>
      <c r="B106" s="3"/>
      <c r="D106" s="3"/>
      <c r="E106" s="3"/>
      <c r="F106" s="5"/>
      <c r="AR106" s="27" t="str">
        <f ca="1">IFERROR(MATCH(A106,OFFSET(Grades!$A$6,MATCH(Rates!$C$6,LIST,0),6,1,SUMIF(Grades!$A:$A,Rates!$C$6,Grades!$F:$F)),0),"-")</f>
        <v>-</v>
      </c>
    </row>
    <row r="107" spans="1:44" ht="18.75" customHeight="1" x14ac:dyDescent="0.25">
      <c r="A107" s="11"/>
      <c r="B107" s="3"/>
      <c r="D107" s="3"/>
      <c r="E107" s="3"/>
      <c r="F107" s="5"/>
      <c r="AR107" s="27" t="str">
        <f ca="1">IFERROR(MATCH(A107,OFFSET(Grades!$A$6,MATCH(Rates!$C$6,LIST,0),6,1,SUMIF(Grades!$A:$A,Rates!$C$6,Grades!$F:$F)),0),"-")</f>
        <v>-</v>
      </c>
    </row>
    <row r="108" spans="1:44" ht="18.75" customHeight="1" x14ac:dyDescent="0.25">
      <c r="A108" s="11"/>
      <c r="B108" s="3"/>
      <c r="D108" s="3"/>
      <c r="E108" s="3"/>
      <c r="F108" s="5"/>
      <c r="AR108" s="27" t="str">
        <f ca="1">IFERROR(MATCH(A108,OFFSET(Grades!$A$6,MATCH(Rates!$C$6,LIST,0),6,1,SUMIF(Grades!$A:$A,Rates!$C$6,Grades!$F:$F)),0),"-")</f>
        <v>-</v>
      </c>
    </row>
    <row r="109" spans="1:44" ht="18.75" customHeight="1" x14ac:dyDescent="0.25">
      <c r="A109" s="11"/>
      <c r="B109" s="3"/>
      <c r="D109" s="3"/>
      <c r="E109" s="3"/>
      <c r="F109" s="5"/>
      <c r="AR109" s="27" t="str">
        <f ca="1">IFERROR(MATCH(A109,OFFSET(Grades!$A$6,MATCH(Rates!$C$6,LIST,0),6,1,SUMIF(Grades!$A:$A,Rates!$C$6,Grades!$F:$F)),0),"-")</f>
        <v>-</v>
      </c>
    </row>
    <row r="110" spans="1:44" ht="18.75" customHeight="1" x14ac:dyDescent="0.25">
      <c r="A110" s="11"/>
      <c r="B110" s="3"/>
      <c r="D110" s="3"/>
      <c r="E110" s="3"/>
      <c r="F110" s="5"/>
      <c r="AR110" s="27" t="str">
        <f ca="1">IFERROR(MATCH(A110,OFFSET(Grades!$A$6,MATCH(Rates!$C$6,LIST,0),6,1,SUMIF(Grades!$A:$A,Rates!$C$6,Grades!$F:$F)),0),"-")</f>
        <v>-</v>
      </c>
    </row>
    <row r="111" spans="1:44" ht="18.75" customHeight="1" x14ac:dyDescent="0.25">
      <c r="A111" s="11"/>
      <c r="B111" s="3"/>
      <c r="D111" s="3"/>
      <c r="E111" s="3"/>
      <c r="F111" s="5"/>
      <c r="AR111" s="27" t="str">
        <f ca="1">IFERROR(MATCH(A111,OFFSET(Grades!$A$6,MATCH(Rates!$C$6,LIST,0),6,1,SUMIF(Grades!$A:$A,Rates!$C$6,Grades!$F:$F)),0),"-")</f>
        <v>-</v>
      </c>
    </row>
    <row r="112" spans="1:44" ht="18.75" customHeight="1" x14ac:dyDescent="0.25">
      <c r="A112" s="11"/>
      <c r="B112" s="3"/>
      <c r="D112" s="3"/>
      <c r="E112" s="3"/>
      <c r="F112" s="5"/>
      <c r="AR112" s="27" t="str">
        <f ca="1">IFERROR(MATCH(A112,OFFSET(Grades!$A$6,MATCH(Rates!$C$6,LIST,0),6,1,SUMIF(Grades!$A:$A,Rates!$C$6,Grades!$F:$F)),0),"-")</f>
        <v>-</v>
      </c>
    </row>
    <row r="113" spans="1:44" ht="18.75" customHeight="1" x14ac:dyDescent="0.25">
      <c r="A113" s="11"/>
      <c r="B113" s="3"/>
      <c r="D113" s="3"/>
      <c r="E113" s="3"/>
      <c r="F113" s="5"/>
      <c r="AR113" s="27" t="str">
        <f ca="1">IFERROR(MATCH(A113,OFFSET(Grades!$A$6,MATCH(Rates!$C$6,LIST,0),6,1,SUMIF(Grades!$A:$A,Rates!$C$6,Grades!$F:$F)),0),"-")</f>
        <v>-</v>
      </c>
    </row>
    <row r="114" spans="1:44" ht="18.75" customHeight="1" x14ac:dyDescent="0.25">
      <c r="A114" s="11"/>
      <c r="B114" s="3"/>
      <c r="D114" s="3"/>
      <c r="E114" s="3"/>
      <c r="F114" s="5"/>
      <c r="AR114" s="27" t="str">
        <f ca="1">IFERROR(MATCH(A114,OFFSET(Grades!$A$6,MATCH(Rates!$C$6,LIST,0),6,1,SUMIF(Grades!$A:$A,Rates!$C$6,Grades!$F:$F)),0),"-")</f>
        <v>-</v>
      </c>
    </row>
    <row r="115" spans="1:44" ht="18.75" customHeight="1" x14ac:dyDescent="0.25">
      <c r="A115" s="11"/>
      <c r="B115" s="3"/>
      <c r="D115" s="3"/>
      <c r="E115" s="3"/>
      <c r="F115" s="5"/>
      <c r="AR115" s="27" t="str">
        <f ca="1">IFERROR(MATCH(A115,OFFSET(Grades!$A$6,MATCH(Rates!$C$6,LIST,0),6,1,SUMIF(Grades!$A:$A,Rates!$C$6,Grades!$F:$F)),0),"-")</f>
        <v>-</v>
      </c>
    </row>
    <row r="116" spans="1:44" ht="18.75" customHeight="1" x14ac:dyDescent="0.25">
      <c r="A116" s="11"/>
      <c r="B116" s="3"/>
      <c r="D116" s="3"/>
      <c r="E116" s="3"/>
      <c r="F116" s="5"/>
      <c r="AR116" s="27" t="str">
        <f ca="1">IFERROR(MATCH(A116,OFFSET(Grades!$A$6,MATCH(Rates!$C$6,LIST,0),6,1,SUMIF(Grades!$A:$A,Rates!$C$6,Grades!$F:$F)),0),"-")</f>
        <v>-</v>
      </c>
    </row>
    <row r="117" spans="1:44" ht="18.75" customHeight="1" x14ac:dyDescent="0.25">
      <c r="A117" s="11"/>
      <c r="B117" s="3"/>
      <c r="D117" s="3"/>
      <c r="E117" s="3"/>
      <c r="F117" s="5"/>
      <c r="AR117" s="27" t="str">
        <f ca="1">IFERROR(MATCH(A117,OFFSET(Grades!$A$6,MATCH(Rates!$C$6,LIST,0),6,1,SUMIF(Grades!$A:$A,Rates!$C$6,Grades!$F:$F)),0),"-")</f>
        <v>-</v>
      </c>
    </row>
    <row r="118" spans="1:44" ht="18.75" customHeight="1" x14ac:dyDescent="0.25">
      <c r="A118" s="11"/>
      <c r="B118" s="3"/>
      <c r="D118" s="3"/>
      <c r="E118" s="3"/>
      <c r="F118" s="5"/>
      <c r="AR118" s="27" t="str">
        <f ca="1">IFERROR(MATCH(A118,OFFSET(Grades!$A$6,MATCH(Rates!$C$6,LIST,0),6,1,SUMIF(Grades!$A:$A,Rates!$C$6,Grades!$F:$F)),0),"-")</f>
        <v>-</v>
      </c>
    </row>
    <row r="119" spans="1:44" ht="18.75" customHeight="1" x14ac:dyDescent="0.25">
      <c r="A119" s="11"/>
      <c r="B119" s="3"/>
      <c r="D119" s="3"/>
      <c r="E119" s="3"/>
      <c r="F119" s="5"/>
      <c r="AR119" s="27" t="str">
        <f ca="1">IFERROR(MATCH(A119,OFFSET(Grades!$A$6,MATCH(Rates!$C$6,LIST,0),6,1,SUMIF(Grades!$A:$A,Rates!$C$6,Grades!$F:$F)),0),"-")</f>
        <v>-</v>
      </c>
    </row>
    <row r="120" spans="1:44" ht="18.75" customHeight="1" x14ac:dyDescent="0.25">
      <c r="A120" s="11"/>
      <c r="B120" s="3"/>
      <c r="D120" s="3"/>
      <c r="E120" s="3"/>
      <c r="F120" s="5"/>
      <c r="AR120" s="27" t="str">
        <f ca="1">IFERROR(MATCH(A120,OFFSET(Grades!$A$6,MATCH(Rates!$C$6,LIST,0),6,1,SUMIF(Grades!$A:$A,Rates!$C$6,Grades!$F:$F)),0),"-")</f>
        <v>-</v>
      </c>
    </row>
    <row r="121" spans="1:44" ht="18.75" customHeight="1" x14ac:dyDescent="0.25">
      <c r="A121" s="11"/>
      <c r="B121" s="3"/>
      <c r="D121" s="3"/>
      <c r="E121" s="3"/>
      <c r="F121" s="5"/>
      <c r="AR121" s="27" t="str">
        <f ca="1">IFERROR(MATCH(A121,OFFSET(Grades!$A$6,MATCH(Rates!$C$6,LIST,0),6,1,SUMIF(Grades!$A:$A,Rates!$C$6,Grades!$F:$F)),0),"-")</f>
        <v>-</v>
      </c>
    </row>
    <row r="122" spans="1:44" ht="18.75" customHeight="1" x14ac:dyDescent="0.25">
      <c r="A122" s="11"/>
      <c r="B122" s="3"/>
      <c r="D122" s="3"/>
      <c r="E122" s="3"/>
      <c r="F122" s="5"/>
      <c r="AR122" s="27" t="str">
        <f ca="1">IFERROR(MATCH(A122,OFFSET(Grades!$A$6,MATCH(Rates!$C$6,LIST,0),6,1,SUMIF(Grades!$A:$A,Rates!$C$6,Grades!$F:$F)),0),"-")</f>
        <v>-</v>
      </c>
    </row>
    <row r="123" spans="1:44" ht="18.75" customHeight="1" x14ac:dyDescent="0.25">
      <c r="A123" s="11"/>
      <c r="B123" s="3"/>
      <c r="D123" s="3"/>
      <c r="E123" s="3"/>
      <c r="F123" s="5"/>
      <c r="AR123" s="27" t="str">
        <f ca="1">IFERROR(MATCH(A123,OFFSET(Grades!$A$6,MATCH(Rates!$C$6,LIST,0),6,1,SUMIF(Grades!$A:$A,Rates!$C$6,Grades!$F:$F)),0),"-")</f>
        <v>-</v>
      </c>
    </row>
    <row r="124" spans="1:44" ht="18.75" customHeight="1" x14ac:dyDescent="0.25">
      <c r="A124" s="11"/>
      <c r="B124" s="3"/>
      <c r="D124" s="3"/>
      <c r="E124" s="3"/>
      <c r="F124" s="5"/>
      <c r="AR124" s="27" t="str">
        <f ca="1">IFERROR(MATCH(A124,OFFSET(Grades!$A$6,MATCH(Rates!$C$6,LIST,0),6,1,SUMIF(Grades!$A:$A,Rates!$C$6,Grades!$F:$F)),0),"-")</f>
        <v>-</v>
      </c>
    </row>
    <row r="125" spans="1:44" ht="18.75" customHeight="1" x14ac:dyDescent="0.25">
      <c r="A125" s="11"/>
      <c r="B125" s="3"/>
      <c r="D125" s="3"/>
      <c r="E125" s="3"/>
      <c r="F125" s="5"/>
      <c r="AR125" s="27" t="str">
        <f ca="1">IFERROR(MATCH(A125,OFFSET(Grades!$A$6,MATCH(Rates!$C$6,LIST,0),6,1,SUMIF(Grades!$A:$A,Rates!$C$6,Grades!$F:$F)),0),"-")</f>
        <v>-</v>
      </c>
    </row>
    <row r="126" spans="1:44" ht="18.75" customHeight="1" x14ac:dyDescent="0.25">
      <c r="A126" s="11"/>
      <c r="B126" s="3"/>
      <c r="D126" s="3"/>
      <c r="E126" s="3"/>
      <c r="F126" s="5"/>
      <c r="AR126" s="27" t="str">
        <f ca="1">IFERROR(MATCH(A126,OFFSET(Grades!$A$6,MATCH(Rates!$C$6,LIST,0),6,1,SUMIF(Grades!$A:$A,Rates!$C$6,Grades!$F:$F)),0),"-")</f>
        <v>-</v>
      </c>
    </row>
    <row r="127" spans="1:44" ht="18.75" customHeight="1" x14ac:dyDescent="0.25">
      <c r="A127" s="11"/>
      <c r="B127" s="3"/>
      <c r="D127" s="3"/>
      <c r="E127" s="3"/>
      <c r="F127" s="5"/>
      <c r="AR127" s="27" t="str">
        <f ca="1">IFERROR(MATCH(A127,OFFSET(Grades!$A$6,MATCH(Rates!$C$6,LIST,0),6,1,SUMIF(Grades!$A:$A,Rates!$C$6,Grades!$F:$F)),0),"-")</f>
        <v>-</v>
      </c>
    </row>
    <row r="128" spans="1:44" ht="18.75" customHeight="1" x14ac:dyDescent="0.25">
      <c r="A128" s="11"/>
      <c r="B128" s="3"/>
      <c r="D128" s="3"/>
      <c r="E128" s="3"/>
      <c r="F128" s="5"/>
      <c r="AR128" s="27" t="str">
        <f ca="1">IFERROR(MATCH(A128,OFFSET(Grades!$A$6,MATCH(Rates!$C$6,LIST,0),6,1,SUMIF(Grades!$A:$A,Rates!$C$6,Grades!$F:$F)),0),"-")</f>
        <v>-</v>
      </c>
    </row>
    <row r="129" spans="1:44" ht="18.75" customHeight="1" x14ac:dyDescent="0.25">
      <c r="A129" s="11"/>
      <c r="B129" s="3"/>
      <c r="D129" s="3"/>
      <c r="E129" s="3"/>
      <c r="F129" s="5"/>
      <c r="AR129" s="27" t="str">
        <f ca="1">IFERROR(MATCH(A129,OFFSET(Grades!$A$6,MATCH(Rates!$C$6,LIST,0),6,1,SUMIF(Grades!$A:$A,Rates!$C$6,Grades!$F:$F)),0),"-")</f>
        <v>-</v>
      </c>
    </row>
    <row r="130" spans="1:44" ht="18.75" customHeight="1" x14ac:dyDescent="0.25">
      <c r="A130" s="11"/>
      <c r="B130" s="3"/>
      <c r="D130" s="3"/>
      <c r="E130" s="3"/>
      <c r="F130" s="5"/>
      <c r="AR130" s="27" t="str">
        <f ca="1">IFERROR(MATCH(A130,OFFSET(Grades!$A$6,MATCH(Rates!$C$6,LIST,0),6,1,SUMIF(Grades!$A:$A,Rates!$C$6,Grades!$F:$F)),0),"-")</f>
        <v>-</v>
      </c>
    </row>
    <row r="131" spans="1:44" ht="18.75" customHeight="1" x14ac:dyDescent="0.25">
      <c r="A131" s="11"/>
      <c r="B131" s="3"/>
      <c r="D131" s="3"/>
      <c r="E131" s="3"/>
      <c r="F131" s="5"/>
      <c r="AR131" s="27" t="str">
        <f ca="1">IFERROR(MATCH(A131,OFFSET(Grades!$A$6,MATCH(Rates!$C$6,LIST,0),6,1,SUMIF(Grades!$A:$A,Rates!$C$6,Grades!$F:$F)),0),"-")</f>
        <v>-</v>
      </c>
    </row>
    <row r="132" spans="1:44" ht="18.75" customHeight="1" x14ac:dyDescent="0.25">
      <c r="A132" s="11"/>
      <c r="B132" s="3"/>
      <c r="D132" s="3"/>
      <c r="E132" s="3"/>
      <c r="F132" s="5"/>
      <c r="AR132" s="27" t="str">
        <f ca="1">IFERROR(MATCH(A132,OFFSET(Grades!$A$6,MATCH(Rates!$C$6,LIST,0),6,1,SUMIF(Grades!$A:$A,Rates!$C$6,Grades!$F:$F)),0),"-")</f>
        <v>-</v>
      </c>
    </row>
    <row r="133" spans="1:44" ht="18.75" customHeight="1" x14ac:dyDescent="0.25">
      <c r="A133" s="11"/>
      <c r="B133" s="3"/>
      <c r="D133" s="3"/>
      <c r="E133" s="3"/>
      <c r="F133" s="5"/>
      <c r="AR133" s="27" t="str">
        <f ca="1">IFERROR(MATCH(A133,OFFSET(Grades!$A$6,MATCH(Rates!$C$6,LIST,0),6,1,SUMIF(Grades!$A:$A,Rates!$C$6,Grades!$F:$F)),0),"-")</f>
        <v>-</v>
      </c>
    </row>
    <row r="134" spans="1:44" ht="18.75" customHeight="1" x14ac:dyDescent="0.25">
      <c r="A134" s="11"/>
      <c r="B134" s="3"/>
      <c r="D134" s="3"/>
      <c r="E134" s="3"/>
      <c r="F134" s="5"/>
      <c r="AR134" s="27" t="str">
        <f ca="1">IFERROR(MATCH(A134,OFFSET(Grades!$A$6,MATCH(Rates!$C$6,LIST,0),6,1,SUMIF(Grades!$A:$A,Rates!$C$6,Grades!$F:$F)),0),"-")</f>
        <v>-</v>
      </c>
    </row>
    <row r="135" spans="1:44" ht="18.75" customHeight="1" x14ac:dyDescent="0.25">
      <c r="A135" s="11"/>
      <c r="B135" s="3"/>
      <c r="D135" s="3"/>
      <c r="E135" s="3"/>
      <c r="F135" s="5"/>
      <c r="AR135" s="27" t="str">
        <f ca="1">IFERROR(MATCH(A135,OFFSET(Grades!$A$6,MATCH(Rates!$C$6,LIST,0),6,1,SUMIF(Grades!$A:$A,Rates!$C$6,Grades!$F:$F)),0),"-")</f>
        <v>-</v>
      </c>
    </row>
    <row r="136" spans="1:44" ht="18.75" customHeight="1" x14ac:dyDescent="0.25">
      <c r="A136" s="11"/>
      <c r="B136" s="3"/>
      <c r="D136" s="3"/>
      <c r="E136" s="3"/>
      <c r="F136" s="5"/>
      <c r="AR136" s="27" t="str">
        <f ca="1">IFERROR(MATCH(A136,OFFSET(Grades!$A$6,MATCH(Rates!$C$6,LIST,0),6,1,SUMIF(Grades!$A:$A,Rates!$C$6,Grades!$F:$F)),0),"-")</f>
        <v>-</v>
      </c>
    </row>
    <row r="137" spans="1:44" ht="18.75" customHeight="1" x14ac:dyDescent="0.25">
      <c r="A137" s="11"/>
      <c r="B137" s="3"/>
      <c r="D137" s="3"/>
      <c r="E137" s="3"/>
      <c r="F137" s="5"/>
      <c r="AR137" s="27" t="str">
        <f ca="1">IFERROR(MATCH(A137,OFFSET(Grades!$A$6,MATCH(Rates!$C$6,LIST,0),6,1,SUMIF(Grades!$A:$A,Rates!$C$6,Grades!$F:$F)),0),"-")</f>
        <v>-</v>
      </c>
    </row>
    <row r="138" spans="1:44" ht="18.75" customHeight="1" x14ac:dyDescent="0.25">
      <c r="A138" s="11"/>
      <c r="B138" s="3"/>
      <c r="D138" s="3"/>
      <c r="E138" s="3"/>
      <c r="F138" s="5"/>
      <c r="AR138" s="27" t="str">
        <f ca="1">IFERROR(MATCH(A138,OFFSET(Grades!$A$6,MATCH(Rates!$C$6,LIST,0),6,1,SUMIF(Grades!$A:$A,Rates!$C$6,Grades!$F:$F)),0),"-")</f>
        <v>-</v>
      </c>
    </row>
    <row r="139" spans="1:44" ht="18.75" customHeight="1" x14ac:dyDescent="0.25">
      <c r="A139" s="11"/>
      <c r="B139" s="3"/>
      <c r="D139" s="3"/>
      <c r="E139" s="3"/>
      <c r="F139" s="5"/>
      <c r="AR139" s="27" t="str">
        <f ca="1">IFERROR(MATCH(A139,OFFSET(Grades!$A$6,MATCH(Rates!$C$6,LIST,0),6,1,SUMIF(Grades!$A:$A,Rates!$C$6,Grades!$F:$F)),0),"-")</f>
        <v>-</v>
      </c>
    </row>
    <row r="140" spans="1:44" ht="18.75" customHeight="1" x14ac:dyDescent="0.25">
      <c r="A140" s="11"/>
      <c r="B140" s="3"/>
      <c r="D140" s="3"/>
      <c r="E140" s="3"/>
      <c r="F140" s="5"/>
      <c r="AR140" s="27" t="str">
        <f ca="1">IFERROR(MATCH(A140,OFFSET(Grades!$A$6,MATCH(Rates!$C$6,LIST,0),6,1,SUMIF(Grades!$A:$A,Rates!$C$6,Grades!$F:$F)),0),"-")</f>
        <v>-</v>
      </c>
    </row>
    <row r="141" spans="1:44" ht="18.75" customHeight="1" x14ac:dyDescent="0.25">
      <c r="A141" s="11"/>
      <c r="B141" s="3"/>
      <c r="D141" s="3"/>
      <c r="E141" s="3"/>
      <c r="F141" s="5"/>
      <c r="AR141" s="27" t="str">
        <f ca="1">IFERROR(MATCH(A141,OFFSET(Grades!$A$6,MATCH(Rates!$C$6,LIST,0),6,1,SUMIF(Grades!$A:$A,Rates!$C$6,Grades!$F:$F)),0),"-")</f>
        <v>-</v>
      </c>
    </row>
    <row r="142" spans="1:44" ht="18.75" customHeight="1" x14ac:dyDescent="0.25">
      <c r="A142" s="11"/>
      <c r="B142" s="3"/>
      <c r="D142" s="3"/>
      <c r="E142" s="3"/>
      <c r="F142" s="5"/>
      <c r="AR142" s="27" t="str">
        <f ca="1">IFERROR(MATCH(A142,OFFSET(Grades!$A$6,MATCH(Rates!$C$6,LIST,0),6,1,SUMIF(Grades!$A:$A,Rates!$C$6,Grades!$F:$F)),0),"-")</f>
        <v>-</v>
      </c>
    </row>
    <row r="143" spans="1:44" ht="18.75" customHeight="1" x14ac:dyDescent="0.25">
      <c r="A143" s="11"/>
      <c r="B143" s="3"/>
      <c r="D143" s="3"/>
      <c r="E143" s="3"/>
      <c r="F143" s="5"/>
      <c r="AR143" s="27" t="str">
        <f ca="1">IFERROR(MATCH(A143,OFFSET(Grades!$A$6,MATCH(Rates!$C$6,LIST,0),6,1,SUMIF(Grades!$A:$A,Rates!$C$6,Grades!$F:$F)),0),"-")</f>
        <v>-</v>
      </c>
    </row>
    <row r="144" spans="1:44" ht="18.75" customHeight="1" x14ac:dyDescent="0.25">
      <c r="A144" s="11"/>
      <c r="B144" s="3"/>
      <c r="D144" s="3"/>
      <c r="E144" s="3"/>
      <c r="F144" s="5"/>
      <c r="AR144" s="27" t="str">
        <f ca="1">IFERROR(MATCH(A144,OFFSET(Grades!$A$6,MATCH(Rates!$C$6,LIST,0),6,1,SUMIF(Grades!$A:$A,Rates!$C$6,Grades!$F:$F)),0),"-")</f>
        <v>-</v>
      </c>
    </row>
    <row r="145" spans="1:44" ht="18.75" customHeight="1" x14ac:dyDescent="0.25">
      <c r="A145" s="11"/>
      <c r="B145" s="3"/>
      <c r="D145" s="3"/>
      <c r="E145" s="3"/>
      <c r="F145" s="5"/>
      <c r="AR145" s="27" t="str">
        <f ca="1">IFERROR(MATCH(A145,OFFSET(Grades!$A$6,MATCH(Rates!$C$6,LIST,0),6,1,SUMIF(Grades!$A:$A,Rates!$C$6,Grades!$F:$F)),0),"-")</f>
        <v>-</v>
      </c>
    </row>
    <row r="146" spans="1:44" ht="18.75" customHeight="1" x14ac:dyDescent="0.25">
      <c r="A146" s="11"/>
      <c r="B146" s="3"/>
      <c r="D146" s="3"/>
      <c r="E146" s="3"/>
      <c r="F146" s="5"/>
      <c r="AR146" s="27" t="str">
        <f ca="1">IFERROR(MATCH(A146,OFFSET(Grades!$A$6,MATCH(Rates!$C$6,LIST,0),6,1,SUMIF(Grades!$A:$A,Rates!$C$6,Grades!$F:$F)),0),"-")</f>
        <v>-</v>
      </c>
    </row>
    <row r="147" spans="1:44" ht="18.75" customHeight="1" x14ac:dyDescent="0.25">
      <c r="A147" s="11"/>
      <c r="B147" s="3"/>
      <c r="D147" s="3"/>
      <c r="E147" s="3"/>
      <c r="F147" s="5"/>
      <c r="AR147" s="27" t="str">
        <f ca="1">IFERROR(MATCH(A147,OFFSET(Grades!$A$6,MATCH(Rates!$C$6,LIST,0),6,1,SUMIF(Grades!$A:$A,Rates!$C$6,Grades!$F:$F)),0),"-")</f>
        <v>-</v>
      </c>
    </row>
    <row r="148" spans="1:44" ht="18.75" customHeight="1" x14ac:dyDescent="0.25">
      <c r="A148" s="11"/>
      <c r="B148" s="3"/>
      <c r="D148" s="3"/>
      <c r="E148" s="3"/>
      <c r="F148" s="5"/>
      <c r="AR148" s="27" t="str">
        <f ca="1">IFERROR(MATCH(A148,OFFSET(Grades!$A$6,MATCH(Rates!$C$6,LIST,0),6,1,SUMIF(Grades!$A:$A,Rates!$C$6,Grades!$F:$F)),0),"-")</f>
        <v>-</v>
      </c>
    </row>
    <row r="149" spans="1:44" ht="18.75" customHeight="1" x14ac:dyDescent="0.25">
      <c r="A149" s="11"/>
      <c r="B149" s="3"/>
      <c r="D149" s="3"/>
      <c r="E149" s="3"/>
      <c r="F149" s="5"/>
      <c r="AR149" s="27" t="str">
        <f ca="1">IFERROR(MATCH(A149,OFFSET(Grades!$A$6,MATCH(Rates!$C$6,LIST,0),6,1,SUMIF(Grades!$A:$A,Rates!$C$6,Grades!$F:$F)),0),"-")</f>
        <v>-</v>
      </c>
    </row>
    <row r="150" spans="1:44" ht="18.75" customHeight="1" x14ac:dyDescent="0.25">
      <c r="A150" s="11"/>
      <c r="B150" s="3"/>
      <c r="D150" s="3"/>
      <c r="E150" s="3"/>
      <c r="F150" s="5"/>
      <c r="AR150" s="27" t="str">
        <f ca="1">IFERROR(MATCH(A150,OFFSET(Grades!$A$6,MATCH(Rates!$C$6,LIST,0),6,1,SUMIF(Grades!$A:$A,Rates!$C$6,Grades!$F:$F)),0),"-")</f>
        <v>-</v>
      </c>
    </row>
    <row r="151" spans="1:44" ht="18.75" customHeight="1" x14ac:dyDescent="0.25">
      <c r="A151" s="11"/>
      <c r="B151" s="3"/>
      <c r="D151" s="3"/>
      <c r="E151" s="3"/>
      <c r="F151" s="5"/>
      <c r="AR151" s="27" t="str">
        <f ca="1">IFERROR(MATCH(A151,OFFSET(Grades!$A$6,MATCH(Rates!$C$6,LIST,0),6,1,SUMIF(Grades!$A:$A,Rates!$C$6,Grades!$F:$F)),0),"-")</f>
        <v>-</v>
      </c>
    </row>
    <row r="152" spans="1:44" ht="18.75" customHeight="1" x14ac:dyDescent="0.25">
      <c r="A152" s="11"/>
      <c r="B152" s="3"/>
      <c r="D152" s="3"/>
      <c r="E152" s="3"/>
      <c r="F152" s="5"/>
      <c r="AR152" s="27" t="str">
        <f ca="1">IFERROR(MATCH(A152,OFFSET(Grades!$A$6,MATCH(Rates!$C$6,LIST,0),6,1,SUMIF(Grades!$A:$A,Rates!$C$6,Grades!$F:$F)),0),"-")</f>
        <v>-</v>
      </c>
    </row>
    <row r="153" spans="1:44" ht="18.75" customHeight="1" x14ac:dyDescent="0.25">
      <c r="A153" s="11"/>
      <c r="B153" s="3"/>
      <c r="D153" s="3"/>
      <c r="E153" s="3"/>
      <c r="F153" s="5"/>
      <c r="AR153" s="27" t="str">
        <f ca="1">IFERROR(MATCH(A153,OFFSET(Grades!$A$6,MATCH(Rates!$C$6,LIST,0),6,1,SUMIF(Grades!$A:$A,Rates!$C$6,Grades!$F:$F)),0),"-")</f>
        <v>-</v>
      </c>
    </row>
    <row r="154" spans="1:44" ht="18.75" customHeight="1" x14ac:dyDescent="0.25">
      <c r="A154" s="11"/>
      <c r="B154" s="3"/>
      <c r="D154" s="3"/>
      <c r="E154" s="3"/>
      <c r="F154" s="5"/>
      <c r="AR154" s="27" t="str">
        <f ca="1">IFERROR(MATCH(A154,OFFSET(Grades!$A$6,MATCH(Rates!$C$6,LIST,0),6,1,SUMIF(Grades!$A:$A,Rates!$C$6,Grades!$F:$F)),0),"-")</f>
        <v>-</v>
      </c>
    </row>
    <row r="155" spans="1:44" ht="18.75" customHeight="1" x14ac:dyDescent="0.25">
      <c r="A155" s="11"/>
      <c r="B155" s="3"/>
      <c r="D155" s="3"/>
      <c r="E155" s="3"/>
      <c r="F155" s="5"/>
      <c r="AR155" s="27" t="str">
        <f ca="1">IFERROR(MATCH(A155,OFFSET(Grades!$A$6,MATCH(Rates!$C$6,LIST,0),6,1,SUMIF(Grades!$A:$A,Rates!$C$6,Grades!$F:$F)),0),"-")</f>
        <v>-</v>
      </c>
    </row>
    <row r="156" spans="1:44" ht="18.75" customHeight="1" x14ac:dyDescent="0.25">
      <c r="A156" s="11"/>
      <c r="B156" s="3"/>
      <c r="D156" s="3"/>
      <c r="E156" s="3"/>
      <c r="F156" s="5"/>
      <c r="AR156" s="27" t="str">
        <f ca="1">IFERROR(MATCH(A156,OFFSET(Grades!$A$6,MATCH(Rates!$C$6,LIST,0),6,1,SUMIF(Grades!$A:$A,Rates!$C$6,Grades!$F:$F)),0),"-")</f>
        <v>-</v>
      </c>
    </row>
    <row r="157" spans="1:44" ht="18.75" customHeight="1" x14ac:dyDescent="0.25">
      <c r="A157" s="11"/>
      <c r="B157" s="3"/>
      <c r="D157" s="3"/>
      <c r="E157" s="3"/>
      <c r="F157" s="5"/>
      <c r="AR157" s="27" t="str">
        <f ca="1">IFERROR(MATCH(A157,OFFSET(Grades!$A$6,MATCH(Rates!$C$6,LIST,0),6,1,SUMIF(Grades!$A:$A,Rates!$C$6,Grades!$F:$F)),0),"-")</f>
        <v>-</v>
      </c>
    </row>
    <row r="158" spans="1:44" ht="18.75" customHeight="1" x14ac:dyDescent="0.25">
      <c r="A158" s="11"/>
      <c r="B158" s="3"/>
      <c r="D158" s="3"/>
      <c r="E158" s="3"/>
      <c r="F158" s="5"/>
      <c r="AR158" s="27" t="str">
        <f ca="1">IFERROR(MATCH(A158,OFFSET(Grades!$A$6,MATCH(Rates!$C$6,LIST,0),6,1,SUMIF(Grades!$A:$A,Rates!$C$6,Grades!$F:$F)),0),"-")</f>
        <v>-</v>
      </c>
    </row>
    <row r="159" spans="1:44" ht="18.75" customHeight="1" x14ac:dyDescent="0.25">
      <c r="A159" s="11"/>
      <c r="B159" s="3"/>
      <c r="D159" s="3"/>
      <c r="E159" s="3"/>
      <c r="F159" s="5"/>
      <c r="AR159" s="27" t="str">
        <f ca="1">IFERROR(MATCH(A159,OFFSET(Grades!$A$6,MATCH(Rates!$C$6,LIST,0),6,1,SUMIF(Grades!$A:$A,Rates!$C$6,Grades!$F:$F)),0),"-")</f>
        <v>-</v>
      </c>
    </row>
    <row r="160" spans="1:44" ht="18.75" customHeight="1" x14ac:dyDescent="0.25">
      <c r="A160" s="11"/>
      <c r="B160" s="3"/>
      <c r="D160" s="3"/>
      <c r="E160" s="3"/>
      <c r="F160" s="5"/>
      <c r="AR160" s="27" t="str">
        <f ca="1">IFERROR(MATCH(A160,OFFSET(Grades!$A$6,MATCH(Rates!$C$6,LIST,0),6,1,SUMIF(Grades!$A:$A,Rates!$C$6,Grades!$F:$F)),0),"-")</f>
        <v>-</v>
      </c>
    </row>
    <row r="161" spans="1:44" ht="18.75" customHeight="1" x14ac:dyDescent="0.25">
      <c r="A161" s="11"/>
      <c r="B161" s="3"/>
      <c r="D161" s="3"/>
      <c r="E161" s="3"/>
      <c r="F161" s="5"/>
      <c r="AR161" s="27" t="str">
        <f ca="1">IFERROR(MATCH(A161,OFFSET(Grades!$A$6,MATCH(Rates!$C$6,LIST,0),6,1,SUMIF(Grades!$A:$A,Rates!$C$6,Grades!$F:$F)),0),"-")</f>
        <v>-</v>
      </c>
    </row>
    <row r="162" spans="1:44" ht="18.75" customHeight="1" x14ac:dyDescent="0.25">
      <c r="A162" s="11"/>
      <c r="B162" s="3"/>
      <c r="D162" s="3"/>
      <c r="E162" s="3"/>
      <c r="F162" s="5"/>
      <c r="AR162" s="27" t="str">
        <f ca="1">IFERROR(MATCH(A162,OFFSET(Grades!$A$6,MATCH(Rates!$C$6,LIST,0),6,1,SUMIF(Grades!$A:$A,Rates!$C$6,Grades!$F:$F)),0),"-")</f>
        <v>-</v>
      </c>
    </row>
    <row r="163" spans="1:44" ht="18.75" customHeight="1" x14ac:dyDescent="0.25">
      <c r="A163" s="11"/>
      <c r="B163" s="3"/>
      <c r="D163" s="3"/>
      <c r="E163" s="3"/>
      <c r="F163" s="5"/>
      <c r="AR163" s="27" t="str">
        <f ca="1">IFERROR(MATCH(A163,OFFSET(Grades!$A$6,MATCH(Rates!$C$6,LIST,0),6,1,SUMIF(Grades!$A:$A,Rates!$C$6,Grades!$F:$F)),0),"-")</f>
        <v>-</v>
      </c>
    </row>
    <row r="164" spans="1:44" ht="18.75" customHeight="1" x14ac:dyDescent="0.25">
      <c r="A164" s="11"/>
      <c r="B164" s="3"/>
      <c r="D164" s="3"/>
      <c r="E164" s="3"/>
      <c r="F164" s="5"/>
      <c r="AR164" s="27" t="str">
        <f ca="1">IFERROR(MATCH(A164,OFFSET(Grades!$A$6,MATCH(Rates!$C$6,LIST,0),6,1,SUMIF(Grades!$A:$A,Rates!$C$6,Grades!$F:$F)),0),"-")</f>
        <v>-</v>
      </c>
    </row>
    <row r="165" spans="1:44" ht="18.75" customHeight="1" x14ac:dyDescent="0.25">
      <c r="A165" s="11"/>
      <c r="B165" s="3"/>
      <c r="D165" s="3"/>
      <c r="E165" s="3"/>
      <c r="F165" s="5"/>
      <c r="AR165" s="27" t="str">
        <f ca="1">IFERROR(MATCH(A165,OFFSET(Grades!$A$6,MATCH(Rates!$C$6,LIST,0),6,1,SUMIF(Grades!$A:$A,Rates!$C$6,Grades!$F:$F)),0),"-")</f>
        <v>-</v>
      </c>
    </row>
    <row r="166" spans="1:44" ht="18.75" customHeight="1" x14ac:dyDescent="0.25">
      <c r="A166" s="11"/>
      <c r="B166" s="3"/>
      <c r="D166" s="3"/>
      <c r="E166" s="3"/>
      <c r="F166" s="5"/>
      <c r="AR166" s="27" t="str">
        <f ca="1">IFERROR(MATCH(A166,OFFSET(Grades!$A$6,MATCH(Rates!$C$6,LIST,0),6,1,SUMIF(Grades!$A:$A,Rates!$C$6,Grades!$F:$F)),0),"-")</f>
        <v>-</v>
      </c>
    </row>
    <row r="167" spans="1:44" ht="18.75" customHeight="1" x14ac:dyDescent="0.25">
      <c r="A167" s="11"/>
      <c r="B167" s="3"/>
      <c r="D167" s="3"/>
      <c r="E167" s="3"/>
      <c r="F167" s="5"/>
      <c r="AR167" s="27" t="str">
        <f ca="1">IFERROR(MATCH(A167,OFFSET(Grades!$A$6,MATCH(Rates!$C$6,LIST,0),6,1,SUMIF(Grades!$A:$A,Rates!$C$6,Grades!$F:$F)),0),"-")</f>
        <v>-</v>
      </c>
    </row>
    <row r="168" spans="1:44" ht="18.75" customHeight="1" x14ac:dyDescent="0.25">
      <c r="A168" s="11"/>
      <c r="B168" s="3"/>
      <c r="D168" s="3"/>
      <c r="E168" s="3"/>
      <c r="F168" s="5"/>
      <c r="AR168" s="27" t="str">
        <f ca="1">IFERROR(MATCH(A168,OFFSET(Grades!$A$6,MATCH(Rates!$C$6,LIST,0),6,1,SUMIF(Grades!$A:$A,Rates!$C$6,Grades!$F:$F)),0),"-")</f>
        <v>-</v>
      </c>
    </row>
    <row r="169" spans="1:44" ht="18.75" customHeight="1" x14ac:dyDescent="0.25">
      <c r="A169" s="11"/>
      <c r="B169" s="3"/>
      <c r="D169" s="3"/>
      <c r="E169" s="3"/>
      <c r="F169" s="5"/>
      <c r="AR169" s="27" t="str">
        <f ca="1">IFERROR(MATCH(A169,OFFSET(Grades!$A$6,MATCH(Rates!$C$6,LIST,0),6,1,SUMIF(Grades!$A:$A,Rates!$C$6,Grades!$F:$F)),0),"-")</f>
        <v>-</v>
      </c>
    </row>
    <row r="170" spans="1:44" ht="18.75" customHeight="1" x14ac:dyDescent="0.25">
      <c r="A170" s="11"/>
      <c r="B170" s="3"/>
      <c r="D170" s="3"/>
      <c r="E170" s="3"/>
      <c r="F170" s="5"/>
      <c r="AR170" s="27" t="str">
        <f ca="1">IFERROR(MATCH(A170,OFFSET(Grades!$A$6,MATCH(Rates!$C$6,LIST,0),6,1,SUMIF(Grades!$A:$A,Rates!$C$6,Grades!$F:$F)),0),"-")</f>
        <v>-</v>
      </c>
    </row>
    <row r="171" spans="1:44" ht="18.75" customHeight="1" x14ac:dyDescent="0.25">
      <c r="A171" s="11"/>
      <c r="B171" s="3"/>
      <c r="D171" s="3"/>
      <c r="E171" s="3"/>
      <c r="F171" s="5"/>
      <c r="AR171" s="27" t="str">
        <f ca="1">IFERROR(MATCH(A171,OFFSET(Grades!$A$6,MATCH(Rates!$C$6,LIST,0),6,1,SUMIF(Grades!$A:$A,Rates!$C$6,Grades!$F:$F)),0),"-")</f>
        <v>-</v>
      </c>
    </row>
    <row r="172" spans="1:44" ht="18.75" customHeight="1" x14ac:dyDescent="0.25">
      <c r="A172" s="11"/>
      <c r="B172" s="3"/>
      <c r="D172" s="3"/>
      <c r="E172" s="3"/>
      <c r="F172" s="5"/>
      <c r="AR172" s="27" t="str">
        <f ca="1">IFERROR(MATCH(A172,OFFSET(Grades!$A$6,MATCH(Rates!$C$6,LIST,0),6,1,SUMIF(Grades!$A:$A,Rates!$C$6,Grades!$F:$F)),0),"-")</f>
        <v>-</v>
      </c>
    </row>
    <row r="173" spans="1:44" ht="18.75" customHeight="1" x14ac:dyDescent="0.25">
      <c r="A173" s="11"/>
      <c r="B173" s="3"/>
      <c r="D173" s="3"/>
      <c r="E173" s="3"/>
      <c r="F173" s="5"/>
      <c r="AR173" s="27" t="str">
        <f ca="1">IFERROR(MATCH(A173,OFFSET(Grades!$A$6,MATCH(Rates!$C$6,LIST,0),6,1,SUMIF(Grades!$A:$A,Rates!$C$6,Grades!$F:$F)),0),"-")</f>
        <v>-</v>
      </c>
    </row>
    <row r="174" spans="1:44" ht="18.75" customHeight="1" x14ac:dyDescent="0.25">
      <c r="A174" s="11"/>
      <c r="B174" s="3"/>
      <c r="D174" s="3"/>
      <c r="E174" s="3"/>
      <c r="F174" s="5"/>
      <c r="AR174" s="27" t="str">
        <f ca="1">IFERROR(MATCH(A174,OFFSET(Grades!$A$6,MATCH(Rates!$C$6,LIST,0),6,1,SUMIF(Grades!$A:$A,Rates!$C$6,Grades!$F:$F)),0),"-")</f>
        <v>-</v>
      </c>
    </row>
    <row r="175" spans="1:44" ht="18.75" customHeight="1" x14ac:dyDescent="0.25">
      <c r="A175" s="11"/>
      <c r="B175" s="3"/>
      <c r="D175" s="3"/>
      <c r="E175" s="3"/>
      <c r="F175" s="5"/>
      <c r="AR175" s="27" t="str">
        <f ca="1">IFERROR(MATCH(A175,OFFSET(Grades!$A$6,MATCH(Rates!$C$6,LIST,0),6,1,SUMIF(Grades!$A:$A,Rates!$C$6,Grades!$F:$F)),0),"-")</f>
        <v>-</v>
      </c>
    </row>
    <row r="176" spans="1:44" ht="18.75" customHeight="1" x14ac:dyDescent="0.25">
      <c r="A176" s="11"/>
      <c r="B176" s="3"/>
      <c r="D176" s="3"/>
      <c r="E176" s="3"/>
      <c r="F176" s="5"/>
      <c r="AR176" s="27" t="str">
        <f ca="1">IFERROR(MATCH(A176,OFFSET(Grades!$A$6,MATCH(Rates!$C$6,LIST,0),6,1,SUMIF(Grades!$A:$A,Rates!$C$6,Grades!$F:$F)),0),"-")</f>
        <v>-</v>
      </c>
    </row>
    <row r="177" spans="1:44" ht="18.75" customHeight="1" x14ac:dyDescent="0.25">
      <c r="A177" s="11"/>
      <c r="B177" s="3"/>
      <c r="D177" s="3"/>
      <c r="E177" s="3"/>
      <c r="F177" s="5"/>
      <c r="AR177" s="27" t="str">
        <f ca="1">IFERROR(MATCH(A177,OFFSET(Grades!$A$6,MATCH(Rates!$C$6,LIST,0),6,1,SUMIF(Grades!$A:$A,Rates!$C$6,Grades!$F:$F)),0),"-")</f>
        <v>-</v>
      </c>
    </row>
    <row r="178" spans="1:44" ht="18.75" customHeight="1" x14ac:dyDescent="0.25">
      <c r="A178" s="11"/>
      <c r="B178" s="3"/>
      <c r="D178" s="3"/>
      <c r="E178" s="3"/>
      <c r="F178" s="5"/>
      <c r="AR178" s="27" t="str">
        <f ca="1">IFERROR(MATCH(A178,OFFSET(Grades!$A$6,MATCH(Rates!$C$6,LIST,0),6,1,SUMIF(Grades!$A:$A,Rates!$C$6,Grades!$F:$F)),0),"-")</f>
        <v>-</v>
      </c>
    </row>
    <row r="179" spans="1:44" ht="18.75" customHeight="1" x14ac:dyDescent="0.25">
      <c r="A179" s="11"/>
      <c r="B179" s="3"/>
      <c r="D179" s="3"/>
      <c r="E179" s="3"/>
      <c r="F179" s="5"/>
      <c r="AR179" s="27" t="str">
        <f ca="1">IFERROR(MATCH(A179,OFFSET(Grades!$A$6,MATCH(Rates!$C$6,LIST,0),6,1,SUMIF(Grades!$A:$A,Rates!$C$6,Grades!$F:$F)),0),"-")</f>
        <v>-</v>
      </c>
    </row>
    <row r="180" spans="1:44" ht="18.75" customHeight="1" x14ac:dyDescent="0.25">
      <c r="A180" s="11"/>
      <c r="B180" s="3"/>
      <c r="D180" s="3"/>
      <c r="E180" s="3"/>
      <c r="F180" s="5"/>
      <c r="AR180" s="27" t="str">
        <f ca="1">IFERROR(MATCH(A180,OFFSET(Grades!$A$6,MATCH(Rates!$C$6,LIST,0),6,1,SUMIF(Grades!$A:$A,Rates!$C$6,Grades!$F:$F)),0),"-")</f>
        <v>-</v>
      </c>
    </row>
    <row r="181" spans="1:44" ht="18.75" customHeight="1" x14ac:dyDescent="0.25">
      <c r="A181" s="11"/>
      <c r="B181" s="3"/>
      <c r="D181" s="3"/>
      <c r="E181" s="3"/>
      <c r="F181" s="5"/>
      <c r="AR181" s="27" t="str">
        <f ca="1">IFERROR(MATCH(A181,OFFSET(Grades!$A$6,MATCH(Rates!$C$6,LIST,0),6,1,SUMIF(Grades!$A:$A,Rates!$C$6,Grades!$F:$F)),0),"-")</f>
        <v>-</v>
      </c>
    </row>
    <row r="182" spans="1:44" ht="18.75" customHeight="1" x14ac:dyDescent="0.25">
      <c r="A182" s="11"/>
      <c r="B182" s="3"/>
      <c r="D182" s="3"/>
      <c r="E182" s="3"/>
      <c r="F182" s="5"/>
      <c r="AR182" s="27" t="str">
        <f ca="1">IFERROR(MATCH(A182,OFFSET(Grades!$A$6,MATCH(Rates!$C$6,LIST,0),6,1,SUMIF(Grades!$A:$A,Rates!$C$6,Grades!$F:$F)),0),"-")</f>
        <v>-</v>
      </c>
    </row>
    <row r="183" spans="1:44" ht="18.75" customHeight="1" x14ac:dyDescent="0.25">
      <c r="A183" s="11"/>
      <c r="B183" s="3"/>
      <c r="D183" s="3"/>
      <c r="E183" s="3"/>
      <c r="F183" s="5"/>
      <c r="AR183" s="27" t="str">
        <f ca="1">IFERROR(MATCH(A183,OFFSET(Grades!$A$6,MATCH(Rates!$C$6,LIST,0),6,1,SUMIF(Grades!$A:$A,Rates!$C$6,Grades!$F:$F)),0),"-")</f>
        <v>-</v>
      </c>
    </row>
    <row r="184" spans="1:44" ht="18.75" customHeight="1" x14ac:dyDescent="0.25">
      <c r="A184" s="11"/>
      <c r="B184" s="3"/>
      <c r="D184" s="3"/>
      <c r="E184" s="3"/>
      <c r="F184" s="5"/>
      <c r="AR184" s="27" t="str">
        <f ca="1">IFERROR(MATCH(A184,OFFSET(Grades!$A$6,MATCH(Rates!$C$6,LIST,0),6,1,SUMIF(Grades!$A:$A,Rates!$C$6,Grades!$F:$F)),0),"-")</f>
        <v>-</v>
      </c>
    </row>
    <row r="185" spans="1:44" ht="18.75" customHeight="1" x14ac:dyDescent="0.25">
      <c r="A185" s="11"/>
      <c r="B185" s="3"/>
      <c r="D185" s="3"/>
      <c r="E185" s="3"/>
      <c r="F185" s="5"/>
      <c r="AR185" s="27" t="str">
        <f ca="1">IFERROR(MATCH(A185,OFFSET(Grades!$A$6,MATCH(Rates!$C$6,LIST,0),6,1,SUMIF(Grades!$A:$A,Rates!$C$6,Grades!$F:$F)),0),"-")</f>
        <v>-</v>
      </c>
    </row>
    <row r="186" spans="1:44" ht="18.75" customHeight="1" x14ac:dyDescent="0.25">
      <c r="A186" s="11"/>
      <c r="B186" s="3"/>
      <c r="D186" s="3"/>
      <c r="E186" s="3"/>
      <c r="F186" s="5"/>
      <c r="AR186" s="27" t="str">
        <f ca="1">IFERROR(MATCH(A186,OFFSET(Grades!$A$6,MATCH(Rates!$C$6,LIST,0),6,1,SUMIF(Grades!$A:$A,Rates!$C$6,Grades!$F:$F)),0),"-")</f>
        <v>-</v>
      </c>
    </row>
    <row r="187" spans="1:44" ht="18.75" customHeight="1" x14ac:dyDescent="0.25">
      <c r="A187" s="11"/>
      <c r="B187" s="3"/>
      <c r="D187" s="3"/>
      <c r="E187" s="3"/>
      <c r="F187" s="5"/>
      <c r="AR187" s="27" t="str">
        <f ca="1">IFERROR(MATCH(A187,OFFSET(Grades!$A$6,MATCH(Rates!$C$6,LIST,0),6,1,SUMIF(Grades!$A:$A,Rates!$C$6,Grades!$F:$F)),0),"-")</f>
        <v>-</v>
      </c>
    </row>
    <row r="188" spans="1:44" ht="18.75" customHeight="1" x14ac:dyDescent="0.25">
      <c r="A188" s="11"/>
      <c r="B188" s="3"/>
      <c r="D188" s="3"/>
      <c r="E188" s="3"/>
      <c r="F188" s="5"/>
      <c r="AR188" s="27" t="str">
        <f ca="1">IFERROR(MATCH(A188,OFFSET(Grades!$A$6,MATCH(Rates!$C$6,LIST,0),6,1,SUMIF(Grades!$A:$A,Rates!$C$6,Grades!$F:$F)),0),"-")</f>
        <v>-</v>
      </c>
    </row>
    <row r="189" spans="1:44" ht="18.75" customHeight="1" x14ac:dyDescent="0.25">
      <c r="A189" s="11"/>
      <c r="B189" s="3"/>
      <c r="D189" s="3"/>
      <c r="E189" s="3"/>
      <c r="F189" s="5"/>
      <c r="AR189" s="27" t="str">
        <f ca="1">IFERROR(MATCH(A189,OFFSET(Grades!$A$6,MATCH(Rates!$C$6,LIST,0),6,1,SUMIF(Grades!$A:$A,Rates!$C$6,Grades!$F:$F)),0),"-")</f>
        <v>-</v>
      </c>
    </row>
    <row r="190" spans="1:44" ht="18.75" customHeight="1" x14ac:dyDescent="0.25">
      <c r="A190" s="11"/>
      <c r="B190" s="3"/>
      <c r="D190" s="3"/>
      <c r="E190" s="3"/>
      <c r="F190" s="5"/>
      <c r="AR190" s="27" t="str">
        <f ca="1">IFERROR(MATCH(A190,OFFSET(Grades!$A$6,MATCH(Rates!$C$6,LIST,0),6,1,SUMIF(Grades!$A:$A,Rates!$C$6,Grades!$F:$F)),0),"-")</f>
        <v>-</v>
      </c>
    </row>
    <row r="191" spans="1:44" ht="18.75" customHeight="1" x14ac:dyDescent="0.25">
      <c r="A191" s="11"/>
      <c r="B191" s="3"/>
      <c r="D191" s="3"/>
      <c r="E191" s="3"/>
      <c r="F191" s="5"/>
      <c r="AR191" s="27" t="str">
        <f ca="1">IFERROR(MATCH(A191,OFFSET(Grades!$A$6,MATCH(Rates!$C$6,LIST,0),6,1,SUMIF(Grades!$A:$A,Rates!$C$6,Grades!$F:$F)),0),"-")</f>
        <v>-</v>
      </c>
    </row>
    <row r="192" spans="1:44" ht="18.75" customHeight="1" x14ac:dyDescent="0.25">
      <c r="A192" s="11"/>
      <c r="B192" s="3"/>
      <c r="D192" s="3"/>
      <c r="E192" s="3"/>
      <c r="F192" s="5"/>
      <c r="AR192" s="27" t="str">
        <f ca="1">IFERROR(MATCH(A192,OFFSET(Grades!$A$6,MATCH(Rates!$C$6,LIST,0),6,1,SUMIF(Grades!$A:$A,Rates!$C$6,Grades!$F:$F)),0),"-")</f>
        <v>-</v>
      </c>
    </row>
    <row r="193" spans="1:44" ht="18.75" customHeight="1" x14ac:dyDescent="0.25">
      <c r="A193" s="11"/>
      <c r="B193" s="3"/>
      <c r="D193" s="3"/>
      <c r="E193" s="3"/>
      <c r="F193" s="5"/>
      <c r="AR193" s="27" t="str">
        <f ca="1">IFERROR(MATCH(A193,OFFSET(Grades!$A$6,MATCH(Rates!$C$6,LIST,0),6,1,SUMIF(Grades!$A:$A,Rates!$C$6,Grades!$F:$F)),0),"-")</f>
        <v>-</v>
      </c>
    </row>
    <row r="194" spans="1:44" ht="18.75" customHeight="1" x14ac:dyDescent="0.25">
      <c r="A194" s="11"/>
      <c r="B194" s="3"/>
      <c r="D194" s="3"/>
      <c r="E194" s="3"/>
      <c r="F194" s="5"/>
      <c r="AR194" s="27" t="str">
        <f ca="1">IFERROR(MATCH(A194,OFFSET(Grades!$A$6,MATCH(Rates!$C$6,LIST,0),6,1,SUMIF(Grades!$A:$A,Rates!$C$6,Grades!$F:$F)),0),"-")</f>
        <v>-</v>
      </c>
    </row>
    <row r="195" spans="1:44" ht="18.75" customHeight="1" x14ac:dyDescent="0.25">
      <c r="A195" s="11"/>
      <c r="B195" s="3"/>
      <c r="D195" s="3"/>
      <c r="E195" s="3"/>
      <c r="F195" s="5"/>
      <c r="AR195" s="27" t="str">
        <f ca="1">IFERROR(MATCH(A195,OFFSET(Grades!$A$6,MATCH(Rates!$C$6,LIST,0),6,1,SUMIF(Grades!$A:$A,Rates!$C$6,Grades!$F:$F)),0),"-")</f>
        <v>-</v>
      </c>
    </row>
    <row r="196" spans="1:44" ht="18.75" customHeight="1" x14ac:dyDescent="0.25">
      <c r="A196" s="11"/>
      <c r="B196" s="3"/>
      <c r="D196" s="3"/>
      <c r="E196" s="3"/>
      <c r="F196" s="5"/>
      <c r="AR196" s="27" t="str">
        <f ca="1">IFERROR(MATCH(A196,OFFSET(Grades!$A$6,MATCH(Rates!$C$6,LIST,0),6,1,SUMIF(Grades!$A:$A,Rates!$C$6,Grades!$F:$F)),0),"-")</f>
        <v>-</v>
      </c>
    </row>
    <row r="197" spans="1:44" ht="18.75" customHeight="1" x14ac:dyDescent="0.25">
      <c r="A197" s="11"/>
      <c r="B197" s="3"/>
      <c r="D197" s="3"/>
      <c r="E197" s="3"/>
      <c r="F197" s="5"/>
      <c r="AR197" s="27" t="str">
        <f ca="1">IFERROR(MATCH(A197,OFFSET(Grades!$A$6,MATCH(Rates!$C$6,LIST,0),6,1,SUMIF(Grades!$A:$A,Rates!$C$6,Grades!$F:$F)),0),"-")</f>
        <v>-</v>
      </c>
    </row>
    <row r="198" spans="1:44" ht="18.75" customHeight="1" x14ac:dyDescent="0.25">
      <c r="A198" s="11"/>
      <c r="B198" s="3"/>
      <c r="D198" s="3"/>
      <c r="E198" s="3"/>
      <c r="F198" s="5"/>
      <c r="AR198" s="27" t="str">
        <f ca="1">IFERROR(MATCH(A198,OFFSET(Grades!$A$6,MATCH(Rates!$C$6,LIST,0),6,1,SUMIF(Grades!$A:$A,Rates!$C$6,Grades!$F:$F)),0),"-")</f>
        <v>-</v>
      </c>
    </row>
    <row r="199" spans="1:44" ht="18.75" customHeight="1" x14ac:dyDescent="0.25">
      <c r="A199" s="11"/>
      <c r="B199" s="3"/>
      <c r="D199" s="3"/>
      <c r="E199" s="3"/>
      <c r="F199" s="5"/>
      <c r="AR199" s="27" t="str">
        <f ca="1">IFERROR(MATCH(A199,OFFSET(Grades!$A$6,MATCH(Rates!$C$6,LIST,0),6,1,SUMIF(Grades!$A:$A,Rates!$C$6,Grades!$F:$F)),0),"-")</f>
        <v>-</v>
      </c>
    </row>
    <row r="200" spans="1:44" ht="18.75" customHeight="1" x14ac:dyDescent="0.25">
      <c r="A200" s="11"/>
      <c r="B200" s="3"/>
      <c r="D200" s="3"/>
      <c r="E200" s="3"/>
      <c r="F200" s="5"/>
      <c r="AR200" s="27" t="str">
        <f ca="1">IFERROR(MATCH(A200,OFFSET(Grades!$A$6,MATCH(Rates!$C$6,LIST,0),6,1,SUMIF(Grades!$A:$A,Rates!$C$6,Grades!$F:$F)),0),"-")</f>
        <v>-</v>
      </c>
    </row>
    <row r="201" spans="1:44" ht="18.75" customHeight="1" x14ac:dyDescent="0.25">
      <c r="A201" s="11"/>
      <c r="B201" s="3"/>
      <c r="D201" s="3"/>
      <c r="E201" s="3"/>
      <c r="F201" s="5"/>
      <c r="AR201" s="27" t="str">
        <f ca="1">IFERROR(MATCH(A201,OFFSET(Grades!$A$6,MATCH(Rates!$C$6,LIST,0),6,1,SUMIF(Grades!$A:$A,Rates!$C$6,Grades!$F:$F)),0),"-")</f>
        <v>-</v>
      </c>
    </row>
    <row r="202" spans="1:44" ht="18.75" customHeight="1" x14ac:dyDescent="0.25">
      <c r="A202" s="11"/>
      <c r="B202" s="3"/>
      <c r="D202" s="3"/>
      <c r="E202" s="3"/>
      <c r="F202" s="5"/>
      <c r="AR202" s="27" t="str">
        <f ca="1">IFERROR(MATCH(A202,OFFSET(Grades!$A$6,MATCH(Rates!$C$6,LIST,0),6,1,SUMIF(Grades!$A:$A,Rates!$C$6,Grades!$F:$F)),0),"-")</f>
        <v>-</v>
      </c>
    </row>
    <row r="203" spans="1:44" ht="18.75" customHeight="1" x14ac:dyDescent="0.25">
      <c r="A203" s="11"/>
      <c r="B203" s="3"/>
      <c r="D203" s="3"/>
      <c r="E203" s="3"/>
      <c r="F203" s="5"/>
      <c r="AR203" s="27" t="str">
        <f ca="1">IFERROR(MATCH(A203,OFFSET(Grades!$A$6,MATCH(Rates!$C$6,LIST,0),6,1,SUMIF(Grades!$A:$A,Rates!$C$6,Grades!$F:$F)),0),"-")</f>
        <v>-</v>
      </c>
    </row>
    <row r="204" spans="1:44" ht="18.75" customHeight="1" x14ac:dyDescent="0.25">
      <c r="A204" s="11"/>
      <c r="B204" s="3"/>
      <c r="D204" s="3"/>
      <c r="E204" s="3"/>
      <c r="F204" s="5"/>
      <c r="AR204" s="27" t="str">
        <f ca="1">IFERROR(MATCH(A204,OFFSET(Grades!$A$6,MATCH(Rates!$C$6,LIST,0),6,1,SUMIF(Grades!$A:$A,Rates!$C$6,Grades!$F:$F)),0),"-")</f>
        <v>-</v>
      </c>
    </row>
    <row r="205" spans="1:44" ht="18.75" customHeight="1" x14ac:dyDescent="0.25">
      <c r="A205" s="11"/>
      <c r="B205" s="3"/>
      <c r="D205" s="3"/>
      <c r="E205" s="3"/>
      <c r="F205" s="5"/>
      <c r="AR205" s="27" t="str">
        <f ca="1">IFERROR(MATCH(A205,OFFSET(Grades!$A$6,MATCH(Rates!$C$6,LIST,0),6,1,SUMIF(Grades!$A:$A,Rates!$C$6,Grades!$F:$F)),0),"-")</f>
        <v>-</v>
      </c>
    </row>
    <row r="206" spans="1:44" ht="18.75" customHeight="1" x14ac:dyDescent="0.25">
      <c r="A206" s="11"/>
      <c r="B206" s="3"/>
      <c r="D206" s="3"/>
      <c r="E206" s="3"/>
      <c r="F206" s="5"/>
      <c r="AR206" s="27" t="str">
        <f ca="1">IFERROR(MATCH(A206,OFFSET(Grades!$A$6,MATCH(Rates!$C$6,LIST,0),6,1,SUMIF(Grades!$A:$A,Rates!$C$6,Grades!$F:$F)),0),"-")</f>
        <v>-</v>
      </c>
    </row>
    <row r="207" spans="1:44" ht="18.75" customHeight="1" x14ac:dyDescent="0.25">
      <c r="A207" s="11"/>
      <c r="B207" s="3"/>
      <c r="D207" s="3"/>
      <c r="E207" s="3"/>
      <c r="F207" s="5"/>
      <c r="AR207" s="27" t="str">
        <f ca="1">IFERROR(MATCH(A207,OFFSET(Grades!$A$6,MATCH(Rates!$C$6,LIST,0),6,1,SUMIF(Grades!$A:$A,Rates!$C$6,Grades!$F:$F)),0),"-")</f>
        <v>-</v>
      </c>
    </row>
    <row r="208" spans="1:44" ht="18.75" customHeight="1" x14ac:dyDescent="0.25">
      <c r="A208" s="11"/>
      <c r="B208" s="3"/>
      <c r="D208" s="3"/>
      <c r="E208" s="3"/>
      <c r="F208" s="5"/>
      <c r="AR208" s="27" t="str">
        <f ca="1">IFERROR(MATCH(A208,OFFSET(Grades!$A$6,MATCH(Rates!$C$6,LIST,0),6,1,SUMIF(Grades!$A:$A,Rates!$C$6,Grades!$F:$F)),0),"-")</f>
        <v>-</v>
      </c>
    </row>
    <row r="209" spans="1:44" ht="18.75" customHeight="1" x14ac:dyDescent="0.25">
      <c r="A209" s="11"/>
      <c r="B209" s="3"/>
      <c r="D209" s="3"/>
      <c r="E209" s="3"/>
      <c r="F209" s="5"/>
      <c r="AR209" s="27" t="str">
        <f ca="1">IFERROR(MATCH(A209,OFFSET(Grades!$A$6,MATCH(Rates!$C$6,LIST,0),6,1,SUMIF(Grades!$A:$A,Rates!$C$6,Grades!$F:$F)),0),"-")</f>
        <v>-</v>
      </c>
    </row>
    <row r="210" spans="1:44" ht="18.75" customHeight="1" x14ac:dyDescent="0.25">
      <c r="A210" s="11"/>
      <c r="B210" s="3"/>
      <c r="D210" s="3"/>
      <c r="E210" s="3"/>
      <c r="F210" s="5"/>
      <c r="AR210" s="27" t="str">
        <f ca="1">IFERROR(MATCH(A210,OFFSET(Grades!$A$6,MATCH(Rates!$C$6,LIST,0),6,1,SUMIF(Grades!$A:$A,Rates!$C$6,Grades!$F:$F)),0),"-")</f>
        <v>-</v>
      </c>
    </row>
    <row r="211" spans="1:44" ht="18.75" customHeight="1" x14ac:dyDescent="0.25">
      <c r="A211" s="11"/>
      <c r="B211" s="3"/>
      <c r="D211" s="3"/>
      <c r="E211" s="3"/>
      <c r="F211" s="5"/>
      <c r="AR211" s="27" t="str">
        <f ca="1">IFERROR(MATCH(A211,OFFSET(Grades!$A$6,MATCH(Rates!$C$6,LIST,0),6,1,SUMIF(Grades!$A:$A,Rates!$C$6,Grades!$F:$F)),0),"-")</f>
        <v>-</v>
      </c>
    </row>
    <row r="212" spans="1:44" ht="18.75" customHeight="1" x14ac:dyDescent="0.25">
      <c r="A212" s="11"/>
      <c r="B212" s="3"/>
      <c r="D212" s="3"/>
      <c r="E212" s="3"/>
      <c r="F212" s="5"/>
      <c r="AR212" s="27" t="str">
        <f ca="1">IFERROR(MATCH(A212,OFFSET(Grades!$A$6,MATCH(Rates!$C$6,LIST,0),6,1,SUMIF(Grades!$A:$A,Rates!$C$6,Grades!$F:$F)),0),"-")</f>
        <v>-</v>
      </c>
    </row>
    <row r="213" spans="1:44" ht="18.75" customHeight="1" x14ac:dyDescent="0.25">
      <c r="A213" s="11"/>
      <c r="B213" s="3"/>
      <c r="D213" s="3"/>
      <c r="E213" s="3"/>
      <c r="F213" s="5"/>
      <c r="AR213" s="27" t="str">
        <f ca="1">IFERROR(MATCH(A213,OFFSET(Grades!$A$6,MATCH(Rates!$C$6,LIST,0),6,1,SUMIF(Grades!$A:$A,Rates!$C$6,Grades!$F:$F)),0),"-")</f>
        <v>-</v>
      </c>
    </row>
    <row r="214" spans="1:44" ht="18.75" customHeight="1" x14ac:dyDescent="0.25">
      <c r="A214" s="11"/>
      <c r="B214" s="3"/>
      <c r="D214" s="3"/>
      <c r="E214" s="3"/>
      <c r="F214" s="5"/>
      <c r="AR214" s="27" t="str">
        <f ca="1">IFERROR(MATCH(A214,OFFSET(Grades!$A$6,MATCH(Rates!$C$6,LIST,0),6,1,SUMIF(Grades!$A:$A,Rates!$C$6,Grades!$F:$F)),0),"-")</f>
        <v>-</v>
      </c>
    </row>
    <row r="215" spans="1:44" ht="18.75" customHeight="1" x14ac:dyDescent="0.25">
      <c r="A215" s="11"/>
      <c r="B215" s="3"/>
      <c r="D215" s="3"/>
      <c r="E215" s="3"/>
      <c r="F215" s="5"/>
      <c r="AR215" s="27" t="str">
        <f ca="1">IFERROR(MATCH(A215,OFFSET(Grades!$A$6,MATCH(Rates!$C$6,LIST,0),6,1,SUMIF(Grades!$A:$A,Rates!$C$6,Grades!$F:$F)),0),"-")</f>
        <v>-</v>
      </c>
    </row>
    <row r="216" spans="1:44" ht="18.75" customHeight="1" x14ac:dyDescent="0.25">
      <c r="A216" s="11"/>
      <c r="B216" s="3"/>
      <c r="D216" s="3"/>
      <c r="E216" s="3"/>
      <c r="F216" s="5"/>
      <c r="AR216" s="27" t="str">
        <f ca="1">IFERROR(MATCH(A216,OFFSET(Grades!$A$6,MATCH(Rates!$C$6,LIST,0),6,1,SUMIF(Grades!$A:$A,Rates!$C$6,Grades!$F:$F)),0),"-")</f>
        <v>-</v>
      </c>
    </row>
    <row r="217" spans="1:44" ht="18.75" customHeight="1" x14ac:dyDescent="0.25">
      <c r="A217" s="11"/>
      <c r="B217" s="3"/>
      <c r="D217" s="3"/>
      <c r="E217" s="3"/>
      <c r="F217" s="5"/>
      <c r="AR217" s="27" t="str">
        <f ca="1">IFERROR(MATCH(A217,OFFSET(Grades!$A$6,MATCH(Rates!$C$6,LIST,0),6,1,SUMIF(Grades!$A:$A,Rates!$C$6,Grades!$F:$F)),0),"-")</f>
        <v>-</v>
      </c>
    </row>
    <row r="218" spans="1:44" ht="18.75" customHeight="1" x14ac:dyDescent="0.25">
      <c r="A218" s="11"/>
      <c r="B218" s="3"/>
      <c r="D218" s="3"/>
      <c r="E218" s="3"/>
      <c r="F218" s="5"/>
      <c r="AR218" s="27" t="str">
        <f ca="1">IFERROR(MATCH(A218,OFFSET(Grades!$A$6,MATCH(Rates!$C$6,LIST,0),6,1,SUMIF(Grades!$A:$A,Rates!$C$6,Grades!$F:$F)),0),"-")</f>
        <v>-</v>
      </c>
    </row>
    <row r="219" spans="1:44" ht="18.75" customHeight="1" x14ac:dyDescent="0.25">
      <c r="A219" s="11"/>
      <c r="B219" s="3"/>
      <c r="D219" s="3"/>
      <c r="E219" s="3"/>
      <c r="F219" s="5"/>
      <c r="AR219" s="27" t="str">
        <f ca="1">IFERROR(MATCH(A219,OFFSET(Grades!$A$6,MATCH(Rates!$C$6,LIST,0),6,1,SUMIF(Grades!$A:$A,Rates!$C$6,Grades!$F:$F)),0),"-")</f>
        <v>-</v>
      </c>
    </row>
    <row r="220" spans="1:44" ht="18.75" customHeight="1" x14ac:dyDescent="0.25">
      <c r="A220" s="11"/>
      <c r="B220" s="3"/>
      <c r="D220" s="3"/>
      <c r="E220" s="3"/>
      <c r="F220" s="5"/>
      <c r="AR220" s="27" t="str">
        <f ca="1">IFERROR(MATCH(A220,OFFSET(Grades!$A$6,MATCH(Rates!$C$6,LIST,0),6,1,SUMIF(Grades!$A:$A,Rates!$C$6,Grades!$F:$F)),0),"-")</f>
        <v>-</v>
      </c>
    </row>
    <row r="221" spans="1:44" ht="18.75" customHeight="1" x14ac:dyDescent="0.25">
      <c r="A221" s="11"/>
      <c r="B221" s="3"/>
      <c r="D221" s="3"/>
      <c r="E221" s="3"/>
      <c r="F221" s="5"/>
      <c r="AR221" s="27" t="str">
        <f ca="1">IFERROR(MATCH(A221,OFFSET(Grades!$A$6,MATCH(Rates!$C$6,LIST,0),6,1,SUMIF(Grades!$A:$A,Rates!$C$6,Grades!$F:$F)),0),"-")</f>
        <v>-</v>
      </c>
    </row>
    <row r="222" spans="1:44" ht="18.75" customHeight="1" x14ac:dyDescent="0.25">
      <c r="A222" s="11"/>
      <c r="B222" s="3"/>
      <c r="D222" s="3"/>
      <c r="E222" s="3"/>
      <c r="F222" s="5"/>
      <c r="AR222" s="27" t="str">
        <f ca="1">IFERROR(MATCH(A222,OFFSET(Grades!$A$6,MATCH(Rates!$C$6,LIST,0),6,1,SUMIF(Grades!$A:$A,Rates!$C$6,Grades!$F:$F)),0),"-")</f>
        <v>-</v>
      </c>
    </row>
    <row r="223" spans="1:44" ht="18.75" customHeight="1" x14ac:dyDescent="0.25">
      <c r="A223" s="11"/>
      <c r="B223" s="3"/>
      <c r="D223" s="3"/>
      <c r="E223" s="3"/>
      <c r="F223" s="5"/>
      <c r="AR223" s="27" t="str">
        <f ca="1">IFERROR(MATCH(A223,OFFSET(Grades!$A$6,MATCH(Rates!$C$6,LIST,0),6,1,SUMIF(Grades!$A:$A,Rates!$C$6,Grades!$F:$F)),0),"-")</f>
        <v>-</v>
      </c>
    </row>
    <row r="224" spans="1:44" ht="18.75" customHeight="1" x14ac:dyDescent="0.25">
      <c r="A224" s="11"/>
      <c r="B224" s="3"/>
      <c r="D224" s="3"/>
      <c r="E224" s="3"/>
      <c r="F224" s="5"/>
      <c r="AR224" s="27" t="str">
        <f ca="1">IFERROR(MATCH(A224,OFFSET(Grades!$A$6,MATCH(Rates!$C$6,LIST,0),6,1,SUMIF(Grades!$A:$A,Rates!$C$6,Grades!$F:$F)),0),"-")</f>
        <v>-</v>
      </c>
    </row>
    <row r="225" spans="1:44" ht="18.75" customHeight="1" x14ac:dyDescent="0.25">
      <c r="A225" s="11"/>
      <c r="B225" s="3"/>
      <c r="D225" s="3"/>
      <c r="E225" s="3"/>
      <c r="F225" s="5"/>
      <c r="AR225" s="27" t="str">
        <f ca="1">IFERROR(MATCH(A225,OFFSET(Grades!$A$6,MATCH(Rates!$C$6,LIST,0),6,1,SUMIF(Grades!$A:$A,Rates!$C$6,Grades!$F:$F)),0),"-")</f>
        <v>-</v>
      </c>
    </row>
    <row r="226" spans="1:44" ht="18.75" customHeight="1" x14ac:dyDescent="0.25">
      <c r="A226" s="11"/>
      <c r="B226" s="3"/>
      <c r="D226" s="3"/>
      <c r="E226" s="3"/>
      <c r="F226" s="5"/>
      <c r="AR226" s="27" t="str">
        <f ca="1">IFERROR(MATCH(A226,OFFSET(Grades!$A$6,MATCH(Rates!$C$6,LIST,0),6,1,SUMIF(Grades!$A:$A,Rates!$C$6,Grades!$F:$F)),0),"-")</f>
        <v>-</v>
      </c>
    </row>
    <row r="227" spans="1:44" ht="18.75" customHeight="1" x14ac:dyDescent="0.25">
      <c r="A227" s="11"/>
      <c r="B227" s="3"/>
      <c r="D227" s="3"/>
      <c r="E227" s="3"/>
      <c r="F227" s="5"/>
      <c r="AR227" s="27" t="str">
        <f ca="1">IFERROR(MATCH(A227,OFFSET(Grades!$A$6,MATCH(Rates!$C$6,LIST,0),6,1,SUMIF(Grades!$A:$A,Rates!$C$6,Grades!$F:$F)),0),"-")</f>
        <v>-</v>
      </c>
    </row>
    <row r="228" spans="1:44" ht="18.75" customHeight="1" x14ac:dyDescent="0.25">
      <c r="A228" s="11"/>
      <c r="B228" s="3"/>
      <c r="D228" s="3"/>
      <c r="E228" s="3"/>
      <c r="F228" s="5"/>
      <c r="AR228" s="27" t="str">
        <f ca="1">IFERROR(MATCH(A228,OFFSET(Grades!$A$6,MATCH(Rates!$C$6,LIST,0),6,1,SUMIF(Grades!$A:$A,Rates!$C$6,Grades!$F:$F)),0),"-")</f>
        <v>-</v>
      </c>
    </row>
    <row r="229" spans="1:44" ht="18.75" customHeight="1" x14ac:dyDescent="0.25">
      <c r="A229" s="11"/>
      <c r="B229" s="3"/>
      <c r="D229" s="3"/>
      <c r="E229" s="3"/>
      <c r="F229" s="5"/>
      <c r="AR229" s="27" t="str">
        <f ca="1">IFERROR(MATCH(A229,OFFSET(Grades!$A$6,MATCH(Rates!$C$6,LIST,0),6,1,SUMIF(Grades!$A:$A,Rates!$C$6,Grades!$F:$F)),0),"-")</f>
        <v>-</v>
      </c>
    </row>
    <row r="230" spans="1:44" ht="18.75" customHeight="1" x14ac:dyDescent="0.25">
      <c r="A230" s="11"/>
      <c r="B230" s="3"/>
      <c r="D230" s="3"/>
      <c r="E230" s="3"/>
      <c r="F230" s="5"/>
      <c r="AR230" s="27" t="str">
        <f ca="1">IFERROR(MATCH(A230,OFFSET(Grades!$A$6,MATCH(Rates!$C$6,LIST,0),6,1,SUMIF(Grades!$A:$A,Rates!$C$6,Grades!$F:$F)),0),"-")</f>
        <v>-</v>
      </c>
    </row>
    <row r="231" spans="1:44" ht="18.75" customHeight="1" x14ac:dyDescent="0.25">
      <c r="A231" s="11"/>
      <c r="B231" s="3"/>
      <c r="D231" s="3"/>
      <c r="E231" s="3"/>
      <c r="F231" s="5"/>
      <c r="AR231" s="27" t="str">
        <f ca="1">IFERROR(MATCH(A231,OFFSET(Grades!$A$6,MATCH(Rates!$C$6,LIST,0),6,1,SUMIF(Grades!$A:$A,Rates!$C$6,Grades!$F:$F)),0),"-")</f>
        <v>-</v>
      </c>
    </row>
    <row r="232" spans="1:44" ht="18.75" customHeight="1" x14ac:dyDescent="0.25">
      <c r="A232" s="11"/>
      <c r="B232" s="3"/>
      <c r="D232" s="3"/>
      <c r="E232" s="3"/>
      <c r="F232" s="5"/>
      <c r="AR232" s="27" t="str">
        <f ca="1">IFERROR(MATCH(A232,OFFSET(Grades!$A$6,MATCH(Rates!$C$6,LIST,0),6,1,SUMIF(Grades!$A:$A,Rates!$C$6,Grades!$F:$F)),0),"-")</f>
        <v>-</v>
      </c>
    </row>
    <row r="233" spans="1:44" ht="18.75" customHeight="1" x14ac:dyDescent="0.25">
      <c r="A233" s="11"/>
      <c r="B233" s="3"/>
      <c r="D233" s="3"/>
      <c r="E233" s="3"/>
      <c r="F233" s="5"/>
      <c r="AR233" s="27" t="str">
        <f ca="1">IFERROR(MATCH(A233,OFFSET(Grades!$A$6,MATCH(Rates!$C$6,LIST,0),6,1,SUMIF(Grades!$A:$A,Rates!$C$6,Grades!$F:$F)),0),"-")</f>
        <v>-</v>
      </c>
    </row>
    <row r="234" spans="1:44" ht="18.75" customHeight="1" x14ac:dyDescent="0.25">
      <c r="A234" s="11"/>
      <c r="B234" s="3"/>
      <c r="D234" s="3"/>
      <c r="E234" s="3"/>
      <c r="F234" s="5"/>
      <c r="AR234" s="27" t="str">
        <f ca="1">IFERROR(MATCH(A234,OFFSET(Grades!$A$6,MATCH(Rates!$C$6,LIST,0),6,1,SUMIF(Grades!$A:$A,Rates!$C$6,Grades!$F:$F)),0),"-")</f>
        <v>-</v>
      </c>
    </row>
    <row r="235" spans="1:44" ht="18.75" customHeight="1" x14ac:dyDescent="0.25">
      <c r="A235" s="11"/>
      <c r="B235" s="3"/>
      <c r="D235" s="3"/>
      <c r="E235" s="3"/>
      <c r="F235" s="5"/>
      <c r="AR235" s="27" t="str">
        <f ca="1">IFERROR(MATCH(A235,OFFSET(Grades!$A$6,MATCH(Rates!$C$6,LIST,0),6,1,SUMIF(Grades!$A:$A,Rates!$C$6,Grades!$F:$F)),0),"-")</f>
        <v>-</v>
      </c>
    </row>
    <row r="236" spans="1:44" ht="18.75" customHeight="1" x14ac:dyDescent="0.25">
      <c r="A236" s="11"/>
      <c r="B236" s="3"/>
      <c r="D236" s="3"/>
      <c r="E236" s="3"/>
      <c r="F236" s="5"/>
      <c r="AR236" s="27" t="str">
        <f ca="1">IFERROR(MATCH(A236,OFFSET(Grades!$A$6,MATCH(Rates!$C$6,LIST,0),6,1,SUMIF(Grades!$A:$A,Rates!$C$6,Grades!$F:$F)),0),"-")</f>
        <v>-</v>
      </c>
    </row>
    <row r="237" spans="1:44" ht="18.75" customHeight="1" x14ac:dyDescent="0.25">
      <c r="A237" s="11"/>
      <c r="B237" s="3"/>
      <c r="D237" s="3"/>
      <c r="E237" s="3"/>
      <c r="F237" s="5"/>
      <c r="AR237" s="27" t="str">
        <f ca="1">IFERROR(MATCH(A237,OFFSET(Grades!$A$6,MATCH(Rates!$C$6,LIST,0),6,1,SUMIF(Grades!$A:$A,Rates!$C$6,Grades!$F:$F)),0),"-")</f>
        <v>-</v>
      </c>
    </row>
    <row r="238" spans="1:44" ht="18.75" customHeight="1" x14ac:dyDescent="0.25">
      <c r="A238" s="11"/>
      <c r="B238" s="3"/>
      <c r="D238" s="3"/>
      <c r="E238" s="3"/>
      <c r="F238" s="5"/>
      <c r="AR238" s="27" t="str">
        <f ca="1">IFERROR(MATCH(A238,OFFSET(Grades!$A$6,MATCH(Rates!$C$6,LIST,0),6,1,SUMIF(Grades!$A:$A,Rates!$C$6,Grades!$F:$F)),0),"-")</f>
        <v>-</v>
      </c>
    </row>
    <row r="239" spans="1:44" ht="18.75" customHeight="1" x14ac:dyDescent="0.25">
      <c r="A239" s="11"/>
      <c r="B239" s="3"/>
      <c r="D239" s="3"/>
      <c r="E239" s="3"/>
      <c r="F239" s="5"/>
      <c r="AR239" s="27" t="str">
        <f ca="1">IFERROR(MATCH(A239,OFFSET(Grades!$A$6,MATCH(Rates!$C$6,LIST,0),6,1,SUMIF(Grades!$A:$A,Rates!$C$6,Grades!$F:$F)),0),"-")</f>
        <v>-</v>
      </c>
    </row>
    <row r="240" spans="1:44" ht="18.75" customHeight="1" x14ac:dyDescent="0.25">
      <c r="A240" s="11"/>
      <c r="B240" s="3"/>
      <c r="D240" s="3"/>
      <c r="E240" s="3"/>
      <c r="F240" s="5"/>
      <c r="AR240" s="27" t="str">
        <f ca="1">IFERROR(MATCH(A240,OFFSET(Grades!$A$6,MATCH(Rates!$C$6,LIST,0),6,1,SUMIF(Grades!$A:$A,Rates!$C$6,Grades!$F:$F)),0),"-")</f>
        <v>-</v>
      </c>
    </row>
    <row r="241" spans="1:44" ht="18.75" customHeight="1" x14ac:dyDescent="0.25">
      <c r="A241" s="11"/>
      <c r="B241" s="3"/>
      <c r="D241" s="3"/>
      <c r="E241" s="3"/>
      <c r="F241" s="5"/>
      <c r="AR241" s="27" t="str">
        <f ca="1">IFERROR(MATCH(A241,OFFSET(Grades!$A$6,MATCH(Rates!$C$6,LIST,0),6,1,SUMIF(Grades!$A:$A,Rates!$C$6,Grades!$F:$F)),0),"-")</f>
        <v>-</v>
      </c>
    </row>
    <row r="242" spans="1:44" ht="18.75" customHeight="1" x14ac:dyDescent="0.25">
      <c r="A242" s="11"/>
      <c r="B242" s="3"/>
      <c r="D242" s="3"/>
      <c r="E242" s="3"/>
      <c r="F242" s="5"/>
      <c r="AR242" s="27" t="str">
        <f ca="1">IFERROR(MATCH(A242,OFFSET(Grades!$A$6,MATCH(Rates!$C$6,LIST,0),6,1,SUMIF(Grades!$A:$A,Rates!$C$6,Grades!$F:$F)),0),"-")</f>
        <v>-</v>
      </c>
    </row>
    <row r="243" spans="1:44" ht="18.75" customHeight="1" x14ac:dyDescent="0.25">
      <c r="A243" s="11"/>
      <c r="B243" s="3"/>
      <c r="D243" s="3"/>
      <c r="E243" s="3"/>
      <c r="F243" s="5"/>
      <c r="AR243" s="27" t="str">
        <f ca="1">IFERROR(MATCH(A243,OFFSET(Grades!$A$6,MATCH(Rates!$C$6,LIST,0),6,1,SUMIF(Grades!$A:$A,Rates!$C$6,Grades!$F:$F)),0),"-")</f>
        <v>-</v>
      </c>
    </row>
    <row r="244" spans="1:44" ht="18.75" customHeight="1" x14ac:dyDescent="0.25">
      <c r="A244" s="11"/>
      <c r="B244" s="3"/>
      <c r="D244" s="3"/>
      <c r="E244" s="3"/>
      <c r="F244" s="5"/>
      <c r="AR244" s="27" t="str">
        <f ca="1">IFERROR(MATCH(A244,OFFSET(Grades!$A$6,MATCH(Rates!$C$6,LIST,0),6,1,SUMIF(Grades!$A:$A,Rates!$C$6,Grades!$F:$F)),0),"-")</f>
        <v>-</v>
      </c>
    </row>
    <row r="245" spans="1:44" ht="18.75" customHeight="1" x14ac:dyDescent="0.25">
      <c r="A245" s="11"/>
      <c r="B245" s="3"/>
      <c r="D245" s="3"/>
      <c r="E245" s="3"/>
      <c r="F245" s="5"/>
      <c r="AR245" s="27" t="str">
        <f ca="1">IFERROR(MATCH(A245,OFFSET(Grades!$A$6,MATCH(Rates!$C$6,LIST,0),6,1,SUMIF(Grades!$A:$A,Rates!$C$6,Grades!$F:$F)),0),"-")</f>
        <v>-</v>
      </c>
    </row>
    <row r="246" spans="1:44" ht="18.75" customHeight="1" x14ac:dyDescent="0.25">
      <c r="A246" s="11"/>
      <c r="B246" s="3"/>
      <c r="D246" s="3"/>
      <c r="E246" s="3"/>
      <c r="F246" s="5"/>
      <c r="AR246" s="27" t="str">
        <f ca="1">IFERROR(MATCH(A246,OFFSET(Grades!$A$6,MATCH(Rates!$C$6,LIST,0),6,1,SUMIF(Grades!$A:$A,Rates!$C$6,Grades!$F:$F)),0),"-")</f>
        <v>-</v>
      </c>
    </row>
    <row r="247" spans="1:44" ht="18.75" customHeight="1" x14ac:dyDescent="0.25">
      <c r="A247" s="11"/>
      <c r="B247" s="3"/>
      <c r="D247" s="3"/>
      <c r="E247" s="3"/>
      <c r="F247" s="5"/>
      <c r="AR247" s="27" t="str">
        <f ca="1">IFERROR(MATCH(A247,OFFSET(Grades!$A$6,MATCH(Rates!$C$6,LIST,0),6,1,SUMIF(Grades!$A:$A,Rates!$C$6,Grades!$F:$F)),0),"-")</f>
        <v>-</v>
      </c>
    </row>
    <row r="248" spans="1:44" ht="18.75" customHeight="1" x14ac:dyDescent="0.25">
      <c r="A248" s="11"/>
      <c r="B248" s="3"/>
      <c r="D248" s="3"/>
      <c r="E248" s="3"/>
      <c r="F248" s="5"/>
      <c r="AR248" s="27" t="str">
        <f ca="1">IFERROR(MATCH(A248,OFFSET(Grades!$A$6,MATCH(Rates!$C$6,LIST,0),6,1,SUMIF(Grades!$A:$A,Rates!$C$6,Grades!$F:$F)),0),"-")</f>
        <v>-</v>
      </c>
    </row>
    <row r="249" spans="1:44" ht="18.75" customHeight="1" x14ac:dyDescent="0.25">
      <c r="A249" s="11"/>
      <c r="B249" s="3"/>
      <c r="D249" s="3"/>
      <c r="E249" s="3"/>
      <c r="F249" s="5"/>
      <c r="AR249" s="27" t="str">
        <f ca="1">IFERROR(MATCH(A249,OFFSET(Grades!$A$6,MATCH(Rates!$C$6,LIST,0),6,1,SUMIF(Grades!$A:$A,Rates!$C$6,Grades!$F:$F)),0),"-")</f>
        <v>-</v>
      </c>
    </row>
    <row r="250" spans="1:44" ht="18.75" customHeight="1" x14ac:dyDescent="0.25">
      <c r="A250" s="11"/>
      <c r="B250" s="3"/>
      <c r="D250" s="3"/>
      <c r="E250" s="3"/>
      <c r="F250" s="5"/>
      <c r="AR250" s="27" t="str">
        <f ca="1">IFERROR(MATCH(A250,OFFSET(Grades!$A$6,MATCH(Rates!$C$6,LIST,0),6,1,SUMIF(Grades!$A:$A,Rates!$C$6,Grades!$F:$F)),0),"-")</f>
        <v>-</v>
      </c>
    </row>
    <row r="251" spans="1:44" ht="18.75" customHeight="1" x14ac:dyDescent="0.25">
      <c r="A251" s="11"/>
      <c r="B251" s="3"/>
      <c r="D251" s="3"/>
      <c r="E251" s="3"/>
      <c r="F251" s="5"/>
      <c r="AR251" s="27" t="str">
        <f ca="1">IFERROR(MATCH(A251,OFFSET(Grades!$A$6,MATCH(Rates!$C$6,LIST,0),6,1,SUMIF(Grades!$A:$A,Rates!$C$6,Grades!$F:$F)),0),"-")</f>
        <v>-</v>
      </c>
    </row>
    <row r="252" spans="1:44" ht="18.75" customHeight="1" x14ac:dyDescent="0.25">
      <c r="A252" s="11"/>
      <c r="B252" s="3"/>
      <c r="D252" s="3"/>
      <c r="E252" s="3"/>
      <c r="F252" s="5"/>
      <c r="AR252" s="27" t="str">
        <f ca="1">IFERROR(MATCH(A252,OFFSET(Grades!$A$6,MATCH(Rates!$C$6,LIST,0),6,1,SUMIF(Grades!$A:$A,Rates!$C$6,Grades!$F:$F)),0),"-")</f>
        <v>-</v>
      </c>
    </row>
    <row r="253" spans="1:44" ht="18.75" customHeight="1" x14ac:dyDescent="0.25">
      <c r="A253" s="11"/>
      <c r="B253" s="3"/>
      <c r="D253" s="3"/>
      <c r="E253" s="3"/>
      <c r="F253" s="5"/>
      <c r="AR253" s="27" t="str">
        <f ca="1">IFERROR(MATCH(A253,OFFSET(Grades!$A$6,MATCH(Rates!$C$6,LIST,0),6,1,SUMIF(Grades!$A:$A,Rates!$C$6,Grades!$F:$F)),0),"-")</f>
        <v>-</v>
      </c>
    </row>
    <row r="254" spans="1:44" ht="18.75" customHeight="1" x14ac:dyDescent="0.25">
      <c r="A254" s="11"/>
      <c r="B254" s="3"/>
      <c r="D254" s="3"/>
      <c r="E254" s="3"/>
      <c r="F254" s="5"/>
      <c r="AR254" s="27" t="str">
        <f ca="1">IFERROR(MATCH(A254,OFFSET(Grades!$A$6,MATCH(Rates!$C$6,LIST,0),6,1,SUMIF(Grades!$A:$A,Rates!$C$6,Grades!$F:$F)),0),"-")</f>
        <v>-</v>
      </c>
    </row>
    <row r="255" spans="1:44" ht="18.75" customHeight="1" x14ac:dyDescent="0.25">
      <c r="A255" s="11"/>
      <c r="B255" s="3"/>
      <c r="D255" s="3"/>
      <c r="E255" s="3"/>
      <c r="F255" s="5"/>
      <c r="AR255" s="27" t="str">
        <f ca="1">IFERROR(MATCH(A255,OFFSET(Grades!$A$6,MATCH(Rates!$C$6,LIST,0),6,1,SUMIF(Grades!$A:$A,Rates!$C$6,Grades!$F:$F)),0),"-")</f>
        <v>-</v>
      </c>
    </row>
    <row r="256" spans="1:44" ht="18.75" customHeight="1" x14ac:dyDescent="0.25">
      <c r="A256" s="11"/>
      <c r="B256" s="3"/>
      <c r="D256" s="3"/>
      <c r="E256" s="3"/>
      <c r="F256" s="5"/>
      <c r="AR256" s="27" t="str">
        <f ca="1">IFERROR(MATCH(A256,OFFSET(Grades!$A$6,MATCH(Rates!$C$6,LIST,0),6,1,SUMIF(Grades!$A:$A,Rates!$C$6,Grades!$F:$F)),0),"-")</f>
        <v>-</v>
      </c>
    </row>
    <row r="257" spans="1:44" ht="18.75" customHeight="1" x14ac:dyDescent="0.25">
      <c r="A257" s="11"/>
      <c r="B257" s="3"/>
      <c r="D257" s="3"/>
      <c r="E257" s="3"/>
      <c r="F257" s="5"/>
      <c r="AR257" s="27" t="str">
        <f ca="1">IFERROR(MATCH(A257,OFFSET(Grades!$A$6,MATCH(Rates!$C$6,LIST,0),6,1,SUMIF(Grades!$A:$A,Rates!$C$6,Grades!$F:$F)),0),"-")</f>
        <v>-</v>
      </c>
    </row>
    <row r="258" spans="1:44" ht="18.75" customHeight="1" x14ac:dyDescent="0.25">
      <c r="A258" s="11"/>
      <c r="B258" s="3"/>
      <c r="D258" s="3"/>
      <c r="E258" s="3"/>
      <c r="F258" s="5"/>
      <c r="AR258" s="27" t="str">
        <f ca="1">IFERROR(MATCH(A258,OFFSET(Grades!$A$6,MATCH(Rates!$C$6,LIST,0),6,1,SUMIF(Grades!$A:$A,Rates!$C$6,Grades!$F:$F)),0),"-")</f>
        <v>-</v>
      </c>
    </row>
    <row r="259" spans="1:44" ht="18.75" customHeight="1" x14ac:dyDescent="0.25">
      <c r="A259" s="11"/>
      <c r="B259" s="3"/>
      <c r="D259" s="3"/>
      <c r="E259" s="3"/>
      <c r="F259" s="5"/>
      <c r="AR259" s="27" t="str">
        <f ca="1">IFERROR(MATCH(A259,OFFSET(Grades!$A$6,MATCH(Rates!$C$6,LIST,0),6,1,SUMIF(Grades!$A:$A,Rates!$C$6,Grades!$F:$F)),0),"-")</f>
        <v>-</v>
      </c>
    </row>
    <row r="260" spans="1:44" ht="18.75" customHeight="1" x14ac:dyDescent="0.25">
      <c r="A260" s="11"/>
      <c r="B260" s="3"/>
      <c r="D260" s="3"/>
      <c r="E260" s="3"/>
      <c r="F260" s="5"/>
      <c r="AR260" s="27" t="str">
        <f ca="1">IFERROR(MATCH(A260,OFFSET(Grades!$A$6,MATCH(Rates!$C$6,LIST,0),6,1,SUMIF(Grades!$A:$A,Rates!$C$6,Grades!$F:$F)),0),"-")</f>
        <v>-</v>
      </c>
    </row>
    <row r="261" spans="1:44" ht="18.75" customHeight="1" x14ac:dyDescent="0.25">
      <c r="A261" s="11"/>
      <c r="B261" s="3"/>
      <c r="D261" s="3"/>
      <c r="E261" s="3"/>
      <c r="F261" s="5"/>
      <c r="AR261" s="27" t="str">
        <f ca="1">IFERROR(MATCH(A261,OFFSET(Grades!$A$6,MATCH(Rates!$C$6,LIST,0),6,1,SUMIF(Grades!$A:$A,Rates!$C$6,Grades!$F:$F)),0),"-")</f>
        <v>-</v>
      </c>
    </row>
    <row r="262" spans="1:44" ht="18.75" customHeight="1" x14ac:dyDescent="0.25">
      <c r="A262" s="11"/>
      <c r="B262" s="3"/>
      <c r="D262" s="3"/>
      <c r="E262" s="3"/>
      <c r="F262" s="5"/>
      <c r="AR262" s="27" t="str">
        <f ca="1">IFERROR(MATCH(A262,OFFSET(Grades!$A$6,MATCH(Rates!$C$6,LIST,0),6,1,SUMIF(Grades!$A:$A,Rates!$C$6,Grades!$F:$F)),0),"-")</f>
        <v>-</v>
      </c>
    </row>
    <row r="263" spans="1:44" ht="18.75" customHeight="1" x14ac:dyDescent="0.25">
      <c r="A263" s="11"/>
      <c r="B263" s="3"/>
      <c r="D263" s="3"/>
      <c r="E263" s="3"/>
      <c r="F263" s="5"/>
      <c r="AR263" s="27" t="str">
        <f ca="1">IFERROR(MATCH(A263,OFFSET(Grades!$A$6,MATCH(Rates!$C$6,LIST,0),6,1,SUMIF(Grades!$A:$A,Rates!$C$6,Grades!$F:$F)),0),"-")</f>
        <v>-</v>
      </c>
    </row>
    <row r="264" spans="1:44" ht="18.75" customHeight="1" x14ac:dyDescent="0.25">
      <c r="A264" s="11"/>
      <c r="B264" s="3"/>
      <c r="D264" s="3"/>
      <c r="E264" s="3"/>
      <c r="F264" s="5"/>
      <c r="AR264" s="27" t="str">
        <f ca="1">IFERROR(MATCH(A264,OFFSET(Grades!$A$6,MATCH(Rates!$C$6,LIST,0),6,1,SUMIF(Grades!$A:$A,Rates!$C$6,Grades!$F:$F)),0),"-")</f>
        <v>-</v>
      </c>
    </row>
    <row r="265" spans="1:44" ht="18.75" customHeight="1" x14ac:dyDescent="0.25">
      <c r="A265" s="11"/>
      <c r="B265" s="3"/>
      <c r="D265" s="3"/>
      <c r="E265" s="3"/>
      <c r="F265" s="5"/>
      <c r="AR265" s="27" t="str">
        <f ca="1">IFERROR(MATCH(A265,OFFSET(Grades!$A$6,MATCH(Rates!$C$6,LIST,0),6,1,SUMIF(Grades!$A:$A,Rates!$C$6,Grades!$F:$F)),0),"-")</f>
        <v>-</v>
      </c>
    </row>
    <row r="266" spans="1:44" ht="18.75" customHeight="1" x14ac:dyDescent="0.25">
      <c r="A266" s="11"/>
      <c r="B266" s="3"/>
      <c r="D266" s="3"/>
      <c r="E266" s="3"/>
      <c r="F266" s="5"/>
      <c r="AR266" s="27" t="str">
        <f ca="1">IFERROR(MATCH(A266,OFFSET(Grades!$A$6,MATCH(Rates!$C$6,LIST,0),6,1,SUMIF(Grades!$A:$A,Rates!$C$6,Grades!$F:$F)),0),"-")</f>
        <v>-</v>
      </c>
    </row>
    <row r="267" spans="1:44" ht="18.75" customHeight="1" x14ac:dyDescent="0.25">
      <c r="A267" s="11"/>
      <c r="B267" s="3"/>
      <c r="D267" s="3"/>
      <c r="E267" s="3"/>
      <c r="F267" s="5"/>
      <c r="AR267" s="27" t="str">
        <f ca="1">IFERROR(MATCH(A267,OFFSET(Grades!$A$6,MATCH(Rates!$C$6,LIST,0),6,1,SUMIF(Grades!$A:$A,Rates!$C$6,Grades!$F:$F)),0),"-")</f>
        <v>-</v>
      </c>
    </row>
    <row r="268" spans="1:44" ht="18.75" customHeight="1" x14ac:dyDescent="0.25">
      <c r="A268" s="11"/>
      <c r="B268" s="3"/>
      <c r="D268" s="3"/>
      <c r="E268" s="3"/>
      <c r="F268" s="5"/>
      <c r="AR268" s="27" t="str">
        <f ca="1">IFERROR(MATCH(A268,OFFSET(Grades!$A$6,MATCH(Rates!$C$6,LIST,0),6,1,SUMIF(Grades!$A:$A,Rates!$C$6,Grades!$F:$F)),0),"-")</f>
        <v>-</v>
      </c>
    </row>
    <row r="269" spans="1:44" ht="18.75" customHeight="1" x14ac:dyDescent="0.25">
      <c r="A269" s="11"/>
      <c r="B269" s="3"/>
      <c r="D269" s="3"/>
      <c r="E269" s="3"/>
      <c r="F269" s="5"/>
      <c r="AR269" s="27" t="str">
        <f ca="1">IFERROR(MATCH(A269,OFFSET(Grades!$A$6,MATCH(Rates!$C$6,LIST,0),6,1,SUMIF(Grades!$A:$A,Rates!$C$6,Grades!$F:$F)),0),"-")</f>
        <v>-</v>
      </c>
    </row>
    <row r="270" spans="1:44" ht="18.75" customHeight="1" x14ac:dyDescent="0.25">
      <c r="A270" s="11"/>
      <c r="B270" s="3"/>
      <c r="D270" s="3"/>
      <c r="E270" s="3"/>
      <c r="F270" s="5"/>
      <c r="AR270" s="27" t="str">
        <f ca="1">IFERROR(MATCH(A270,OFFSET(Grades!$A$6,MATCH(Rates!$C$6,LIST,0),6,1,SUMIF(Grades!$A:$A,Rates!$C$6,Grades!$F:$F)),0),"-")</f>
        <v>-</v>
      </c>
    </row>
    <row r="271" spans="1:44" ht="18.75" customHeight="1" x14ac:dyDescent="0.25">
      <c r="A271" s="11"/>
      <c r="B271" s="3"/>
      <c r="D271" s="3"/>
      <c r="E271" s="3"/>
      <c r="F271" s="5"/>
      <c r="AR271" s="27" t="str">
        <f ca="1">IFERROR(MATCH(A271,OFFSET(Grades!$A$6,MATCH(Rates!$C$6,LIST,0),6,1,SUMIF(Grades!$A:$A,Rates!$C$6,Grades!$F:$F)),0),"-")</f>
        <v>-</v>
      </c>
    </row>
    <row r="272" spans="1:44" ht="18.75" customHeight="1" x14ac:dyDescent="0.25">
      <c r="A272" s="11"/>
      <c r="B272" s="3"/>
      <c r="D272" s="3"/>
      <c r="E272" s="3"/>
      <c r="F272" s="5"/>
      <c r="AR272" s="27" t="str">
        <f ca="1">IFERROR(MATCH(A272,OFFSET(Grades!$A$6,MATCH(Rates!$C$6,LIST,0),6,1,SUMIF(Grades!$A:$A,Rates!$C$6,Grades!$F:$F)),0),"-")</f>
        <v>-</v>
      </c>
    </row>
    <row r="273" spans="1:44" ht="18.75" customHeight="1" x14ac:dyDescent="0.25">
      <c r="A273" s="11"/>
      <c r="B273" s="3"/>
      <c r="D273" s="3"/>
      <c r="E273" s="3"/>
      <c r="F273" s="5"/>
      <c r="AR273" s="27" t="str">
        <f ca="1">IFERROR(MATCH(A273,OFFSET(Grades!$A$6,MATCH(Rates!$C$6,LIST,0),6,1,SUMIF(Grades!$A:$A,Rates!$C$6,Grades!$F:$F)),0),"-")</f>
        <v>-</v>
      </c>
    </row>
    <row r="274" spans="1:44" ht="18.75" customHeight="1" x14ac:dyDescent="0.25">
      <c r="A274" s="11"/>
      <c r="B274" s="3"/>
      <c r="D274" s="3"/>
      <c r="E274" s="3"/>
      <c r="F274" s="5"/>
      <c r="AR274" s="27" t="str">
        <f ca="1">IFERROR(MATCH(A274,OFFSET(Grades!$A$6,MATCH(Rates!$C$6,LIST,0),6,1,SUMIF(Grades!$A:$A,Rates!$C$6,Grades!$F:$F)),0),"-")</f>
        <v>-</v>
      </c>
    </row>
    <row r="275" spans="1:44" ht="18.75" customHeight="1" x14ac:dyDescent="0.25">
      <c r="A275" s="11"/>
      <c r="B275" s="3"/>
      <c r="D275" s="3"/>
      <c r="E275" s="3"/>
      <c r="F275" s="5"/>
      <c r="AR275" s="27" t="str">
        <f ca="1">IFERROR(MATCH(A275,OFFSET(Grades!$A$6,MATCH(Rates!$C$6,LIST,0),6,1,SUMIF(Grades!$A:$A,Rates!$C$6,Grades!$F:$F)),0),"-")</f>
        <v>-</v>
      </c>
    </row>
    <row r="276" spans="1:44" ht="18.75" customHeight="1" x14ac:dyDescent="0.25">
      <c r="A276" s="11"/>
      <c r="B276" s="3"/>
      <c r="D276" s="3"/>
      <c r="E276" s="3"/>
      <c r="F276" s="5"/>
      <c r="AR276" s="27" t="str">
        <f ca="1">IFERROR(MATCH(A276,OFFSET(Grades!$A$6,MATCH(Rates!$C$6,LIST,0),6,1,SUMIF(Grades!$A:$A,Rates!$C$6,Grades!$F:$F)),0),"-")</f>
        <v>-</v>
      </c>
    </row>
    <row r="277" spans="1:44" ht="18.75" customHeight="1" x14ac:dyDescent="0.25">
      <c r="A277" s="11"/>
      <c r="B277" s="3"/>
      <c r="D277" s="3"/>
      <c r="E277" s="3"/>
      <c r="F277" s="5"/>
      <c r="AR277" s="27" t="str">
        <f ca="1">IFERROR(MATCH(A277,OFFSET(Grades!$A$6,MATCH(Rates!$C$6,LIST,0),6,1,SUMIF(Grades!$A:$A,Rates!$C$6,Grades!$F:$F)),0),"-")</f>
        <v>-</v>
      </c>
    </row>
    <row r="278" spans="1:44" ht="18.75" customHeight="1" x14ac:dyDescent="0.25">
      <c r="A278" s="11"/>
      <c r="B278" s="3"/>
      <c r="D278" s="3"/>
      <c r="E278" s="3"/>
      <c r="F278" s="5"/>
      <c r="AR278" s="27" t="str">
        <f ca="1">IFERROR(MATCH(A278,OFFSET(Grades!$A$6,MATCH(Rates!$C$6,LIST,0),6,1,SUMIF(Grades!$A:$A,Rates!$C$6,Grades!$F:$F)),0),"-")</f>
        <v>-</v>
      </c>
    </row>
    <row r="279" spans="1:44" ht="18.75" customHeight="1" x14ac:dyDescent="0.25">
      <c r="A279" s="11"/>
      <c r="B279" s="3"/>
      <c r="D279" s="3"/>
      <c r="E279" s="3"/>
      <c r="F279" s="5"/>
      <c r="AR279" s="27" t="str">
        <f ca="1">IFERROR(MATCH(A279,OFFSET(Grades!$A$6,MATCH(Rates!$C$6,LIST,0),6,1,SUMIF(Grades!$A:$A,Rates!$C$6,Grades!$F:$F)),0),"-")</f>
        <v>-</v>
      </c>
    </row>
    <row r="280" spans="1:44" ht="18.75" customHeight="1" x14ac:dyDescent="0.25">
      <c r="A280" s="11"/>
      <c r="B280" s="3"/>
      <c r="D280" s="3"/>
      <c r="E280" s="3"/>
      <c r="F280" s="5"/>
      <c r="AR280" s="27" t="str">
        <f ca="1">IFERROR(MATCH(A280,OFFSET(Grades!$A$6,MATCH(Rates!$C$6,LIST,0),6,1,SUMIF(Grades!$A:$A,Rates!$C$6,Grades!$F:$F)),0),"-")</f>
        <v>-</v>
      </c>
    </row>
    <row r="281" spans="1:44" ht="18.75" customHeight="1" x14ac:dyDescent="0.25">
      <c r="A281" s="11"/>
      <c r="B281" s="3"/>
      <c r="D281" s="3"/>
      <c r="E281" s="3"/>
      <c r="F281" s="5"/>
      <c r="AR281" s="27" t="str">
        <f ca="1">IFERROR(MATCH(A281,OFFSET(Grades!$A$6,MATCH(Rates!$C$6,LIST,0),6,1,SUMIF(Grades!$A:$A,Rates!$C$6,Grades!$F:$F)),0),"-")</f>
        <v>-</v>
      </c>
    </row>
    <row r="282" spans="1:44" x14ac:dyDescent="0.25">
      <c r="AR282" s="27" t="str">
        <f ca="1">IFERROR(MATCH(A282,OFFSET(Grades!$A$6,MATCH(Rates!$C$6,LIST,0),6,1,SUMIF(Grades!$A:$A,Rates!$C$6,Grades!$F:$F)),0),"-")</f>
        <v>-</v>
      </c>
    </row>
    <row r="283" spans="1:44" x14ac:dyDescent="0.25">
      <c r="AR283" s="27" t="str">
        <f ca="1">IFERROR(MATCH(A283,OFFSET(Grades!$A$6,MATCH(Rates!$C$6,LIST,0),6,1,SUMIF(Grades!$A:$A,Rates!$C$6,Grades!$F:$F)),0),"-")</f>
        <v>-</v>
      </c>
    </row>
    <row r="284" spans="1:44" x14ac:dyDescent="0.25">
      <c r="AR284" s="27" t="str">
        <f ca="1">IFERROR(MATCH(A284,OFFSET(Grades!$A$6,MATCH(Rates!$C$6,LIST,0),6,1,SUMIF(Grades!$A:$A,Rates!$C$6,Grades!$F:$F)),0),"-")</f>
        <v>-</v>
      </c>
    </row>
    <row r="285" spans="1:44" x14ac:dyDescent="0.25">
      <c r="AR285" s="27" t="str">
        <f ca="1">IFERROR(MATCH(A285,OFFSET(Grades!$A$6,MATCH(Rates!$C$6,LIST,0),6,1,SUMIF(Grades!$A:$A,Rates!$C$6,Grades!$F:$F)),0),"-")</f>
        <v>-</v>
      </c>
    </row>
    <row r="286" spans="1:44" x14ac:dyDescent="0.25">
      <c r="AR286" s="27" t="str">
        <f ca="1">IFERROR(MATCH(A286,OFFSET(Grades!$A$6,MATCH(Rates!$C$6,LIST,0),6,1,SUMIF(Grades!$A:$A,Rates!$C$6,Grades!$F:$F)),0),"-")</f>
        <v>-</v>
      </c>
    </row>
  </sheetData>
  <mergeCells count="4">
    <mergeCell ref="D2:E2"/>
    <mergeCell ref="A2:B2"/>
    <mergeCell ref="C61:C78"/>
    <mergeCell ref="C2:C3"/>
  </mergeCells>
  <dataValidations count="1">
    <dataValidation type="list" showInputMessage="1" showErrorMessage="1" sqref="W2 AD2 AK2" xr:uid="{D209D2AB-7501-4321-980D-D988B05C8F7F}">
      <formula1>"Pre- pay award, Post- pay award"</formula1>
    </dataValidation>
  </dataValidations>
  <printOptions horizontalCentered="1"/>
  <pageMargins left="0.23622047244094491" right="0.23622047244094491" top="0.55118110236220474" bottom="0.3937007874015748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5EC9515766340858D70EECC5AD921" ma:contentTypeVersion="20" ma:contentTypeDescription="Create a new document." ma:contentTypeScope="" ma:versionID="1b4c15e8655bd8034b9ec2f932c7b99e">
  <xsd:schema xmlns:xsd="http://www.w3.org/2001/XMLSchema" xmlns:xs="http://www.w3.org/2001/XMLSchema" xmlns:p="http://schemas.microsoft.com/office/2006/metadata/properties" xmlns:ns2="55e6b1b4-372c-45e8-b6d9-3db6e31442bc" xmlns:ns3="f1d7a1b8-d8de-46d6-a72a-8bafd3f2a678" targetNamespace="http://schemas.microsoft.com/office/2006/metadata/properties" ma:root="true" ma:fieldsID="519dd273a70cff461bf7114cbcda2e8a" ns2:_="" ns3:_="">
    <xsd:import namespace="55e6b1b4-372c-45e8-b6d9-3db6e31442bc"/>
    <xsd:import namespace="f1d7a1b8-d8de-46d6-a72a-8bafd3f2a678"/>
    <xsd:element name="properties">
      <xsd:complexType>
        <xsd:sequence>
          <xsd:element name="documentManagement">
            <xsd:complexType>
              <xsd:all>
                <xsd:element ref="ns2:Frequency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6b1b4-372c-45e8-b6d9-3db6e31442bc" elementFormDefault="qualified">
    <xsd:import namespace="http://schemas.microsoft.com/office/2006/documentManagement/types"/>
    <xsd:import namespace="http://schemas.microsoft.com/office/infopath/2007/PartnerControls"/>
    <xsd:element name="Frequency" ma:index="2" nillable="true" ma:displayName="Frequency" ma:format="Dropdown" ma:internalName="Frequency" ma:readOnly="fals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6624216-d583-4636-a04d-17921d6eaf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a1b8-d8de-46d6-a72a-8bafd3f2a6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bead6dd2-61fc-4664-b256-ee2177e8f791}" ma:internalName="TaxCatchAll" ma:showField="CatchAllData" ma:web="f1d7a1b8-d8de-46d6-a72a-8bafd3f2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quency xmlns="55e6b1b4-372c-45e8-b6d9-3db6e31442bc" xsi:nil="true"/>
    <TaxCatchAll xmlns="f1d7a1b8-d8de-46d6-a72a-8bafd3f2a678" xsi:nil="true"/>
    <lcf76f155ced4ddcb4097134ff3c332f xmlns="55e6b1b4-372c-45e8-b6d9-3db6e31442bc">
      <Terms xmlns="http://schemas.microsoft.com/office/infopath/2007/PartnerControls"/>
    </lcf76f155ced4ddcb4097134ff3c332f>
    <SharedWithUsers xmlns="f1d7a1b8-d8de-46d6-a72a-8bafd3f2a678">
      <UserInfo>
        <DisplayName>Benjamin Hadwin (staff)</DisplayName>
        <AccountId>139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9DCD7-944B-4187-8DAE-E911823E6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e6b1b4-372c-45e8-b6d9-3db6e31442bc"/>
    <ds:schemaRef ds:uri="f1d7a1b8-d8de-46d6-a72a-8bafd3f2a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946396-F922-4773-98F3-7AD868D0046C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1d7a1b8-d8de-46d6-a72a-8bafd3f2a678"/>
    <ds:schemaRef ds:uri="55e6b1b4-372c-45e8-b6d9-3db6e31442bc"/>
  </ds:schemaRefs>
</ds:datastoreItem>
</file>

<file path=customXml/itemProps3.xml><?xml version="1.0" encoding="utf-8"?>
<ds:datastoreItem xmlns:ds="http://schemas.openxmlformats.org/officeDocument/2006/customXml" ds:itemID="{DA5F47D2-EB8C-494F-8215-7A4D9C6881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Level 1-6 Scale</vt:lpstr>
      <vt:lpstr>Apprenticeship Scale</vt:lpstr>
      <vt:lpstr>Level 7 Scale</vt:lpstr>
      <vt:lpstr>Level 7 R&amp;T Banded Scale</vt:lpstr>
      <vt:lpstr>Clinical Scales</vt:lpstr>
      <vt:lpstr>Rates</vt:lpstr>
      <vt:lpstr>Notes &amp; Guidance</vt:lpstr>
      <vt:lpstr>Grades</vt:lpstr>
      <vt:lpstr>Points Lookup</vt:lpstr>
      <vt:lpstr>Thresholds_Rates</vt:lpstr>
      <vt:lpstr>'Apprenticeship Scale'!Print_Area</vt:lpstr>
      <vt:lpstr>'Clinical Scales'!Print_Area</vt:lpstr>
      <vt:lpstr>'Level 1-6 Scale'!Print_Area</vt:lpstr>
      <vt:lpstr>'Level 7 R&amp;T Banded Scale'!Print_Area</vt:lpstr>
      <vt:lpstr>'Level 7 Scale'!Print_Area</vt:lpstr>
      <vt:lpstr>'Notes &amp; Guidance'!Print_Area</vt:lpstr>
      <vt:lpstr>Rates!Print_Area</vt:lpstr>
      <vt:lpstr>'Level 1-6 Scale'!Print_Titles</vt:lpstr>
      <vt:lpstr>Rates!Print_Titles</vt:lpstr>
    </vt:vector>
  </TitlesOfParts>
  <Manager/>
  <Company>The University of Nottingham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Salary-Scales-On-Costs-Pay-Award-Aug-2014-(April-2014-NI)</dc:title>
  <dc:subject/>
  <dc:creator>Tanya Robinson</dc:creator>
  <cp:keywords/>
  <dc:description/>
  <cp:lastModifiedBy>Becky Waldron (staff)</cp:lastModifiedBy>
  <cp:revision/>
  <cp:lastPrinted>2023-03-24T17:31:32Z</cp:lastPrinted>
  <dcterms:created xsi:type="dcterms:W3CDTF">2011-11-03T09:54:30Z</dcterms:created>
  <dcterms:modified xsi:type="dcterms:W3CDTF">2023-04-12T13:40:16Z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0x010100BF35EC9515766340858D70EECC5AD921</vt:lpwstr>
  </property>
  <property fmtid="{D5CDD505-2E9C-101B-9397-08002B2CF9AE}" pid="3" name="MediaServiceImageTags">
    <vt:lpwstr/>
  </property>
</Properties>
</file>